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490" windowHeight="7950" activeTab="1"/>
  </bookViews>
  <sheets>
    <sheet name="คณะใน มบส" sheetId="1" r:id="rId1"/>
    <sheet name="ผลวิเคราะห์" sheetId="2" r:id="rId2"/>
  </sheets>
  <definedNames>
    <definedName name="_xlnm.Print_Area" localSheetId="0">'คณะใน มบส'!$A$1:$K$32</definedName>
    <definedName name="_xlnm.Print_Area" localSheetId="1">ผลวิเคราะห์!$A$1:$G$17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CH28" i="1"/>
  <c r="CF28" i="1"/>
  <c r="CE28" i="1"/>
  <c r="CD28" i="1"/>
  <c r="CC28" i="1"/>
  <c r="CB28" i="1"/>
  <c r="CA28" i="1"/>
  <c r="CI28" i="1" s="1"/>
  <c r="CG28" i="1" l="1"/>
  <c r="K28" i="1" s="1"/>
  <c r="I7" i="1"/>
  <c r="L28" i="1" l="1"/>
  <c r="D16" i="2"/>
  <c r="F14" i="2"/>
  <c r="M17" i="1"/>
  <c r="M18" i="1"/>
  <c r="M19" i="1"/>
  <c r="M22" i="1"/>
  <c r="M21" i="1"/>
  <c r="M20" i="1"/>
  <c r="J22" i="1"/>
  <c r="J21" i="1"/>
  <c r="J20" i="1"/>
  <c r="L22" i="1"/>
  <c r="L21" i="1"/>
  <c r="L20" i="1"/>
  <c r="L19" i="1"/>
  <c r="L18" i="1"/>
  <c r="L17" i="1"/>
  <c r="K10" i="1"/>
  <c r="K9" i="1"/>
  <c r="L15" i="1"/>
  <c r="L8" i="1"/>
  <c r="G9" i="1" l="1"/>
  <c r="G10" i="1"/>
  <c r="I10" i="1"/>
  <c r="I9" i="1" l="1"/>
  <c r="L10" i="1"/>
  <c r="L9" i="1"/>
  <c r="G7" i="1"/>
  <c r="L7" i="1" l="1"/>
  <c r="K7" i="1" s="1"/>
  <c r="L25" i="1"/>
  <c r="L23" i="1"/>
  <c r="CG27" i="1" l="1"/>
  <c r="CE27" i="1"/>
  <c r="CD27" i="1"/>
  <c r="CC27" i="1"/>
  <c r="CB27" i="1"/>
  <c r="CA27" i="1"/>
  <c r="CH27" i="1" s="1"/>
  <c r="CF27" i="1" l="1"/>
  <c r="K27" i="1" s="1"/>
  <c r="L27" i="1" l="1"/>
  <c r="CD16" i="1"/>
  <c r="B15" i="2"/>
  <c r="CG26" i="1"/>
  <c r="CE26" i="1"/>
  <c r="CD26" i="1"/>
  <c r="CC26" i="1"/>
  <c r="CB26" i="1"/>
  <c r="CA26" i="1"/>
  <c r="CF26" i="1" s="1"/>
  <c r="G25" i="1"/>
  <c r="CG24" i="1"/>
  <c r="CE24" i="1"/>
  <c r="CD24" i="1"/>
  <c r="CC24" i="1"/>
  <c r="CB24" i="1"/>
  <c r="CA24" i="1"/>
  <c r="CH24" i="1" s="1"/>
  <c r="G23" i="1"/>
  <c r="CH26" i="1" l="1"/>
  <c r="L26" i="1" s="1"/>
  <c r="I25" i="1"/>
  <c r="K25" i="1" s="1"/>
  <c r="CF24" i="1"/>
  <c r="K24" i="1" s="1"/>
  <c r="D12" i="2" s="1"/>
  <c r="I23" i="1"/>
  <c r="K23" i="1" s="1"/>
  <c r="K26" i="1" l="1"/>
  <c r="E12" i="2"/>
  <c r="F12" i="2"/>
  <c r="L24" i="1"/>
  <c r="CI16" i="1"/>
  <c r="CG16" i="1"/>
  <c r="CF16" i="1"/>
  <c r="CE16" i="1"/>
  <c r="CC16" i="1"/>
  <c r="CB16" i="1"/>
  <c r="CA16" i="1"/>
  <c r="CJ16" i="1" l="1"/>
  <c r="CH16" i="1"/>
  <c r="CG14" i="1"/>
  <c r="CE14" i="1"/>
  <c r="CD14" i="1"/>
  <c r="CC14" i="1"/>
  <c r="CB14" i="1"/>
  <c r="CA14" i="1"/>
  <c r="CH14" i="1" s="1"/>
  <c r="CG13" i="1"/>
  <c r="CE13" i="1"/>
  <c r="CD13" i="1"/>
  <c r="CC13" i="1"/>
  <c r="CB13" i="1"/>
  <c r="CA13" i="1"/>
  <c r="CH13" i="1" l="1"/>
  <c r="L16" i="1"/>
  <c r="K16" i="1"/>
  <c r="CF13" i="1"/>
  <c r="CF14" i="1"/>
  <c r="K14" i="1" s="1"/>
  <c r="K13" i="1" l="1"/>
  <c r="D11" i="2"/>
  <c r="L13" i="1"/>
  <c r="L14" i="1"/>
  <c r="C10" i="2" l="1"/>
  <c r="K17" i="1" l="1"/>
  <c r="K20" i="1"/>
  <c r="E11" i="2" s="1"/>
  <c r="A1" i="2" l="1"/>
  <c r="CH30" i="1" l="1"/>
  <c r="CF30" i="1"/>
  <c r="CE30" i="1"/>
  <c r="CD30" i="1"/>
  <c r="CC30" i="1"/>
  <c r="CB30" i="1"/>
  <c r="CA30" i="1"/>
  <c r="CI29" i="1"/>
  <c r="CG29" i="1"/>
  <c r="CF29" i="1"/>
  <c r="CE29" i="1"/>
  <c r="CD29" i="1"/>
  <c r="CC29" i="1"/>
  <c r="CB29" i="1"/>
  <c r="CA29" i="1"/>
  <c r="CH12" i="1"/>
  <c r="CF12" i="1"/>
  <c r="CE12" i="1"/>
  <c r="CD12" i="1"/>
  <c r="CC12" i="1"/>
  <c r="CB12" i="1"/>
  <c r="CA12" i="1"/>
  <c r="CH11" i="1"/>
  <c r="CF11" i="1"/>
  <c r="CE11" i="1"/>
  <c r="CD11" i="1"/>
  <c r="CC11" i="1"/>
  <c r="CB11" i="1"/>
  <c r="CA11" i="1"/>
  <c r="F11" i="2" l="1"/>
  <c r="C16" i="2"/>
  <c r="CH29" i="1"/>
  <c r="CG30" i="1"/>
  <c r="CI12" i="1"/>
  <c r="CG12" i="1"/>
  <c r="CI11" i="1"/>
  <c r="CG11" i="1"/>
  <c r="CI30" i="1"/>
  <c r="L30" i="1" s="1"/>
  <c r="CJ29" i="1"/>
  <c r="L29" i="1" l="1"/>
  <c r="K11" i="1"/>
  <c r="K12" i="1"/>
  <c r="K29" i="1"/>
  <c r="K30" i="1"/>
  <c r="L12" i="1"/>
  <c r="L11" i="1"/>
  <c r="C17" i="2"/>
  <c r="C11" i="2"/>
  <c r="G14" i="2" l="1"/>
  <c r="D17" i="2"/>
  <c r="G11" i="2"/>
  <c r="F13" i="2"/>
  <c r="G13" i="2" s="1"/>
  <c r="D13" i="2"/>
  <c r="G12" i="2"/>
  <c r="G15" i="1"/>
  <c r="I15" i="1"/>
  <c r="K15" i="1" s="1"/>
  <c r="K31" i="1" l="1"/>
  <c r="E10" i="2"/>
  <c r="E16" i="2"/>
  <c r="E17" i="2" s="1"/>
  <c r="F10" i="2"/>
  <c r="G10" i="2" s="1"/>
  <c r="F16" i="2" l="1"/>
  <c r="G16" i="2" s="1"/>
  <c r="D10" i="2"/>
  <c r="B32" i="1"/>
</calcChain>
</file>

<file path=xl/comments1.xml><?xml version="1.0" encoding="utf-8"?>
<comments xmlns="http://schemas.openxmlformats.org/spreadsheetml/2006/main">
  <authors>
    <author>svoa108</author>
    <author>A</author>
  </authors>
  <commentList>
    <comment ref="A2" authorId="0">
      <text>
        <r>
          <rPr>
            <b/>
            <sz val="20"/>
            <color indexed="81"/>
            <rFont val="TH SarabunPSK"/>
            <family val="2"/>
          </rPr>
          <t>ใส่ชื่อคณะใน มบส
ที่ทำการประเมิน</t>
        </r>
      </text>
    </comment>
    <comment ref="B3" authorId="0">
      <text>
        <r>
          <rPr>
            <b/>
            <sz val="20"/>
            <color indexed="81"/>
            <rFont val="TH SarabunPSK"/>
            <family val="2"/>
          </rPr>
          <t>ใส่จำนวนหลักสูตรที่คณะ
รับผิดชอบทั้งหมดทุกระบบ
ในทุกระดับทั้ง ป.ตรี โท และเอก</t>
        </r>
      </text>
    </comment>
    <comment ref="B7" authorId="1">
      <text>
        <r>
          <rPr>
            <b/>
            <sz val="20"/>
            <color indexed="81"/>
            <rFont val="TH SarabunPSK"/>
            <family val="2"/>
          </rPr>
          <t>ผลรวมของค่าคะแนน
ประเมินของทุกหลักสูตร</t>
        </r>
      </text>
    </comment>
    <comment ref="B8" authorId="1">
      <text>
        <r>
          <rPr>
            <b/>
            <sz val="20"/>
            <color indexed="81"/>
            <rFont val="TH SarabunPSK"/>
            <family val="2"/>
          </rPr>
          <t>จำนวนหลักสูตรทั้งหมด
ที่คณะรับผิดชอบ ไม่รวม
ที่ได้รับรองด้วยระบบอื่น</t>
        </r>
      </text>
    </comment>
    <comment ref="B9" authorId="1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
ที่มีคุณวุฒิปริญญาเอก</t>
        </r>
      </text>
    </comment>
    <comment ref="D9" authorId="1">
      <text>
        <r>
          <rPr>
            <b/>
            <sz val="20"/>
            <color indexed="81"/>
            <rFont val="TH SarabunPSK"/>
            <family val="2"/>
          </rPr>
          <t>จำนวนอาจารย์ประจำ
คณะทั้งหมด</t>
        </r>
      </text>
    </comment>
    <comment ref="B10" authorId="1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
ที่ดำรงตำแหน่งทางวิชาการ</t>
        </r>
      </text>
    </comment>
    <comment ref="D10" authorId="1">
      <text>
        <r>
          <rPr>
            <b/>
            <sz val="20"/>
            <color indexed="81"/>
            <rFont val="TH SarabunPSK"/>
            <family val="2"/>
          </rPr>
          <t>จำนวนอาจารย์ประจำ
คณะทั้งหมด</t>
        </r>
      </text>
    </comment>
    <comment ref="B11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11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11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11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11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G11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12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12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12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12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12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G12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13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13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13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13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13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14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14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14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14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14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15" authorId="1">
      <text>
        <r>
          <rPr>
            <b/>
            <sz val="20"/>
            <color indexed="81"/>
            <rFont val="TH SarabunPSK"/>
            <family val="2"/>
          </rPr>
          <t>จำนวนหลักสูตรที่นักศึกษา
มีส่วนร่วมในการสร้างนวัตกรรม</t>
        </r>
      </text>
    </comment>
    <comment ref="D15" authorId="1">
      <text>
        <r>
          <rPr>
            <b/>
            <sz val="20"/>
            <color indexed="81"/>
            <rFont val="TH SarabunPSK"/>
            <family val="2"/>
          </rPr>
          <t>จำนวนหลักสูตรทั้งหมดในคณะ</t>
        </r>
      </text>
    </comment>
    <comment ref="B16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16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16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16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16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G16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H16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17" author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จำนวนอาจารย์ประจำคณะและ
นักวิจัยทั้งหมด (ไม่นับลาศึกษา)</t>
        </r>
      </text>
    </comment>
    <comment ref="H17" authorId="0">
      <text>
        <r>
          <rPr>
            <b/>
            <sz val="20"/>
            <color indexed="81"/>
            <rFont val="TH SarabunPSK"/>
            <family val="2"/>
          </rPr>
          <t>จำนวนเงินสนับสนุนงานวิจัยฯ
จากภายในและภายนอก</t>
        </r>
      </text>
    </comment>
    <comment ref="L17" authorId="0">
      <text>
        <r>
          <rPr>
            <b/>
            <sz val="20"/>
            <color indexed="81"/>
            <rFont val="TH SarabunPSK"/>
            <family val="2"/>
          </rPr>
          <t>คะแนนเฉลี่ยกลุ่มสาขาวิชา
ในสถาบันกลุ่ม ข และ ค2</t>
        </r>
      </text>
    </comment>
    <comment ref="F18" author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จำนวนอาจารย์ประจำคณะและ
นักวิจัยทั้งหมด (ไม่นับลาศึกษา)</t>
        </r>
      </text>
    </comment>
    <comment ref="H18" authorId="0">
      <text>
        <r>
          <rPr>
            <b/>
            <sz val="20"/>
            <color indexed="81"/>
            <rFont val="TH SarabunPSK"/>
            <family val="2"/>
          </rPr>
          <t>จำนวนเงินสนับสนุนงานวิจัยฯ
จากภายในและภายนอก</t>
        </r>
      </text>
    </comment>
    <comment ref="L18" authorId="0">
      <text>
        <r>
          <rPr>
            <b/>
            <sz val="20"/>
            <color indexed="81"/>
            <rFont val="TH SarabunPSK"/>
            <family val="2"/>
          </rPr>
          <t>คะแนนเฉลี่ยกลุ่มสาขาวิชา
ในสถาบันกลุ่ม ข และ ค2</t>
        </r>
      </text>
    </comment>
    <comment ref="F19" author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จำนวนอาจารย์ประจำคณะและ
นักวิจัยทั้งหมด (ไม่นับลาศึกษา)</t>
        </r>
      </text>
    </comment>
    <comment ref="H19" authorId="0">
      <text>
        <r>
          <rPr>
            <b/>
            <sz val="20"/>
            <color indexed="81"/>
            <rFont val="TH SarabunPSK"/>
            <family val="2"/>
          </rPr>
          <t>จำนวนเงินสนับสนุนงานวิจัยฯ
จากภายในและภายนอก</t>
        </r>
      </text>
    </comment>
    <comment ref="L19" authorId="0">
      <text>
        <r>
          <rPr>
            <b/>
            <sz val="20"/>
            <color indexed="81"/>
            <rFont val="TH SarabunPSK"/>
            <family val="2"/>
          </rPr>
          <t>คะแนนเฉลี่ยกลุ่มสาขาวิชา
ในสถาบันกลุ่ม ข และ ค2</t>
        </r>
      </text>
    </comment>
    <comment ref="F20" author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
ผลงานทางวิชาการของ
อาจารย์ประจำและนักวิจัย</t>
        </r>
      </text>
    </comment>
    <comment ref="H20" author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
และนักวิจัยทั้งหมด</t>
        </r>
      </text>
    </comment>
    <comment ref="J20" authorId="0">
      <text>
        <r>
          <rPr>
            <b/>
            <sz val="20"/>
            <color indexed="81"/>
            <rFont val="TH SarabunPSK"/>
            <family val="2"/>
          </rPr>
          <t>ร้อยละของผลรวมถ่วงน้ำหนัก
ของผลงานทางวิชาการ</t>
        </r>
      </text>
    </comment>
    <comment ref="L20" authorId="0">
      <text>
        <r>
          <rPr>
            <b/>
            <sz val="20"/>
            <color indexed="81"/>
            <rFont val="TH SarabunPSK"/>
            <family val="2"/>
          </rPr>
          <t>คะแนนเฉลี่ยกลุ่มสาขาวิชา
ในสถาบันกลุ่ม ข และ ค2</t>
        </r>
      </text>
    </comment>
    <comment ref="F21" author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
ผลงานทางวิชาการของ
อาจารย์ประจำและนักวิจัย</t>
        </r>
      </text>
    </comment>
    <comment ref="H21" author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
และนักวิจัยทั้งหมด</t>
        </r>
      </text>
    </comment>
    <comment ref="J21" authorId="0">
      <text>
        <r>
          <rPr>
            <b/>
            <sz val="20"/>
            <color indexed="81"/>
            <rFont val="TH SarabunPSK"/>
            <family val="2"/>
          </rPr>
          <t>ร้อยละของผลรวมถ่วงน้ำหนัก
ของผลงานทางวิชาการ</t>
        </r>
      </text>
    </comment>
    <comment ref="L21" authorId="0">
      <text>
        <r>
          <rPr>
            <b/>
            <sz val="20"/>
            <color indexed="81"/>
            <rFont val="TH SarabunPSK"/>
            <family val="2"/>
          </rPr>
          <t>คะแนนเฉลี่ยกลุ่มสาขาวิชา
ในสถาบันกลุ่ม ข และ ค2</t>
        </r>
      </text>
    </comment>
    <comment ref="F22" author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
ผลงานทางวิชาการของ
อาจารย์ประจำและนักวิจัย</t>
        </r>
      </text>
    </comment>
    <comment ref="H22" author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
และนักวิจัยทั้งหมด</t>
        </r>
      </text>
    </comment>
    <comment ref="J22" authorId="0">
      <text>
        <r>
          <rPr>
            <b/>
            <sz val="20"/>
            <color indexed="81"/>
            <rFont val="TH SarabunPSK"/>
            <family val="2"/>
          </rPr>
          <t>ร้อยละของผลรวมถ่วงน้ำหนัก
ของผลงานทางวิชาการ</t>
        </r>
      </text>
    </comment>
    <comment ref="L22" authorId="0">
      <text>
        <r>
          <rPr>
            <b/>
            <sz val="20"/>
            <color indexed="81"/>
            <rFont val="TH SarabunPSK"/>
            <family val="2"/>
          </rPr>
          <t>คะแนนเฉลี่ยกลุ่มสาขาวิชา
ในสถาบันกลุ่ม ข และ ค2</t>
        </r>
      </text>
    </comment>
    <comment ref="B23" authorId="1">
      <text>
        <r>
          <rPr>
            <b/>
            <sz val="20"/>
            <color indexed="81"/>
            <rFont val="TH SarabunPSK"/>
            <family val="2"/>
          </rPr>
          <t>ผลรวมของ งานวิจัย งานสร้างสรรค์
หรือนวัตกรรมที่นำไปใช้ประโยชน์</t>
        </r>
      </text>
    </comment>
    <comment ref="D23" authorId="1">
      <text>
        <r>
          <rPr>
            <b/>
            <sz val="20"/>
            <color indexed="81"/>
            <rFont val="TH SarabunPSK"/>
            <family val="2"/>
          </rPr>
          <t>จำนวนงานวิจัย งานสร้างสรรค์ หรือ
นวัตกรรมทั้งหมดในปีที่ประเมินฯ</t>
        </r>
      </text>
    </comment>
    <comment ref="B24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24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24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24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24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25" authorId="1">
      <text>
        <r>
          <rPr>
            <b/>
            <sz val="20"/>
            <color indexed="81"/>
            <rFont val="TH SarabunPSK"/>
            <family val="2"/>
          </rPr>
          <t>จำนวนชุมชนเป้าหมายที่ได้รับ
การพัฒนาอย่างต่อเนื่องตามแผน
เสริมสร้างความสัมพันธ์กับชุมชน</t>
        </r>
      </text>
    </comment>
    <comment ref="D25" authorId="1">
      <text>
        <r>
          <rPr>
            <b/>
            <sz val="20"/>
            <color indexed="81"/>
            <rFont val="TH SarabunPSK"/>
            <family val="2"/>
          </rPr>
          <t>จำนวนชุมชนเป้าหมายทั้งหมด</t>
        </r>
      </text>
    </comment>
    <comment ref="B26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26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26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26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26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27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27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27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27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27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28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28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28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28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28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G28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29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29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29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29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29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G29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H29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30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30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30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30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30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G30" author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</commentList>
</comments>
</file>

<file path=xl/sharedStrings.xml><?xml version="1.0" encoding="utf-8"?>
<sst xmlns="http://schemas.openxmlformats.org/spreadsheetml/2006/main" count="61" uniqueCount="51">
  <si>
    <t xml:space="preserve"> ผลการดำเนินงาน</t>
  </si>
  <si>
    <t>ตัวตั้ง</t>
  </si>
  <si>
    <t>ผลลัพธ์
(% หรือสัดส่วน)</t>
  </si>
  <si>
    <t>ตัวหาร</t>
  </si>
  <si>
    <t>1.1 ผลการบริหารจัดการหลักสูตรโดยรวม</t>
  </si>
  <si>
    <t>1.2 อาจารย์ประจำคณะที่มีคุณวุฒิปริญญาเอก</t>
  </si>
  <si>
    <t>1.3 อาจารย์ประจำคณะที่ดำรงตำแหน่งทางวิชาการ</t>
  </si>
  <si>
    <t>2.2 เงินสนับสนุนงานวิจัยและงานสร้างสรรค์</t>
  </si>
  <si>
    <t>วิทย์และเทคโนโลยี</t>
  </si>
  <si>
    <t>วิทย์สุขภาพ</t>
  </si>
  <si>
    <t>มนุษย์สังคม</t>
  </si>
  <si>
    <t>2.3  ผลงานทางวิชาการของอาจารย์ประจำและนักวิจัย</t>
  </si>
  <si>
    <t>คะแนนเฉลี่ย</t>
  </si>
  <si>
    <t>ตารางวิเคราะห์ผลการประเมินระดับคณะ</t>
  </si>
  <si>
    <t>องค์ ประกอบ ที่</t>
  </si>
  <si>
    <t>คะแนนการประเมินเฉลี่ย</t>
  </si>
  <si>
    <t>ผลการประเมิน</t>
  </si>
  <si>
    <t>0.00 – 1.50 การดำเนินงานต้องปรับปรุงเร่งด่วน</t>
  </si>
  <si>
    <t>1.51 – 2.50 การดำเนินงานต้องปรับปรุง</t>
  </si>
  <si>
    <t>จำนวนตัวบ่งชี้</t>
  </si>
  <si>
    <t>I</t>
  </si>
  <si>
    <t>P</t>
  </si>
  <si>
    <t>O</t>
  </si>
  <si>
    <t>2.51 – 3.50 การดำเนินงานระดับพอใช้</t>
  </si>
  <si>
    <t>3.51 – 4.50 การดำเนินงานระดับดี</t>
  </si>
  <si>
    <t>4.51 - 5.00 การดำเนินงานระดับดีมาก</t>
  </si>
  <si>
    <t>-</t>
  </si>
  <si>
    <t>รวม</t>
  </si>
  <si>
    <t>ผลการประเมินระดับคณะวิชา มบส</t>
  </si>
  <si>
    <t>ชื่อคณะใน มบส ที่ทำการประเมิน</t>
  </si>
  <si>
    <r>
      <rPr>
        <sz val="16"/>
        <rFont val="TH SarabunPSK"/>
        <family val="2"/>
      </rPr>
      <t>พัฒนาโดย ดร.ประสิทธิ์ พงษ์เรืองพันธุ์ รศ.ดร.เรณา พงษ์เรืองพันธุ์ และมหาวิทยาลัยราชภัฏบ้านสมเด็จเจ้าพระยา</t>
    </r>
    <r>
      <rPr>
        <b/>
        <sz val="22"/>
        <rFont val="TH SarabunPSK"/>
        <family val="2"/>
      </rPr>
      <t xml:space="preserve">
ตัวบ่งชี้คุณภาพ</t>
    </r>
  </si>
  <si>
    <t>BSRU</t>
  </si>
  <si>
    <t>พัฒนาโดย ดร.ประสิทธิ์ พงษ์เรืองพันธุ์ รศ.ดร.เรณา พงษ์เรืองพันธุ์ และมหาวิทยาลัยราชภัฏบ้านสมเด็จเจ้าพระยา</t>
  </si>
  <si>
    <t>1.4 การบริการนักศึกษาระดับปริญญาตรี</t>
  </si>
  <si>
    <t>1.5 กิจกรรมนักศึกษาระดับปริญญาตรี</t>
  </si>
  <si>
    <t>1.6 การส่งเสริมสมรรถนะและทักษะการใช้ภาษาอังกฤษ</t>
  </si>
  <si>
    <t>1.7 การส่งเสริมสมรรถนะและทักษะด้านดิจิทัล</t>
  </si>
  <si>
    <t>1.8 หลักสูตรที่นักศึกษามีส่วนร่วมในการสร้างนวัตกรรม</t>
  </si>
  <si>
    <t>2.1 ระบบและกลไกงานวิจัย งานสร้างสรรค์ หรือนวัตกรรม</t>
  </si>
  <si>
    <t>2.4 งานวิจัย งานสร้างสรรค์ หรือนวัตกรรมที่นำไปใช้ประโยชน์ต่อชุมชน</t>
  </si>
  <si>
    <t>3.1  ระบบและกลไกการบริการวิชาการเพื่อการพัฒนาท้องถิ่น ชุมชน หรือสังคม</t>
  </si>
  <si>
    <t>3.2 จำนวนชุมชนเป้าหมายที่ได้รับการพัฒนาอย่างต่อเนื่องตามแผนเสริมสร้างความสัมพันธ์กับชุมชน</t>
  </si>
  <si>
    <t>5.1 การจัดการเรียนรู้แบบบูรณาการกับการทำงาน</t>
  </si>
  <si>
    <t>4.1 ระบบและกลไกด้านศิลปวัฒนธรรมและความเป็นไทย</t>
  </si>
  <si>
    <t>กลุ่มสถาบันกลุ่ม ข</t>
  </si>
  <si>
    <t>คะแนนการประเมิน
(ตามเกณฑ์ สกอ. และ มบส)</t>
  </si>
  <si>
    <t>จำนวนหลักสูตรที่คณะใน มบส รับผิดชอบรวมทุกระบบในทุกระดับ</t>
  </si>
  <si>
    <t>วิทยาศาสตร์และเทคโนโลยี</t>
  </si>
  <si>
    <t>5.3 การบริหารของคณะเพื่อการกำกับติดตามผลลัพธ์ตามพันธกิจกลุ่มสถาบัน และเอกลักษณ์ของคณะ</t>
  </si>
  <si>
    <t>5.4 ระบบกำกับการประกันคุณภาพหลักสูตร</t>
  </si>
  <si>
    <t>5.2 การส่งเสริมความร่วมมือทางวิชาการระดับบัณฑิตศึกษา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</si>
</sst>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88" formatCode="#,##0.0"/>
    <numFmt numFmtId="189" formatCode="0.0"/>
  </numFmts>
  <fonts count="3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20"/>
      <color theme="1"/>
      <name val="TH SarabunPSK"/>
      <family val="2"/>
    </font>
    <font>
      <b/>
      <sz val="20"/>
      <color rgb="FF0000CC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rgb="FFFF0000"/>
      <name val="TH SarabunPSK"/>
      <family val="2"/>
    </font>
    <font>
      <b/>
      <sz val="20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FF0000"/>
      <name val="TH SarabunPSK"/>
      <family val="2"/>
    </font>
    <font>
      <b/>
      <sz val="11"/>
      <color rgb="FFC00000"/>
      <name val="TH SarabunPSK"/>
      <family val="2"/>
    </font>
    <font>
      <b/>
      <sz val="11"/>
      <color theme="1"/>
      <name val="TH SarabunPSK"/>
      <family val="2"/>
    </font>
    <font>
      <b/>
      <sz val="20"/>
      <color indexed="81"/>
      <name val="TH SarabunPSK"/>
      <family val="2"/>
    </font>
    <font>
      <b/>
      <sz val="20"/>
      <color rgb="FF000000"/>
      <name val="TH SarabunPSK"/>
      <family val="2"/>
    </font>
    <font>
      <b/>
      <sz val="18"/>
      <color rgb="FF000000"/>
      <name val="TH SarabunPSK"/>
      <family val="2"/>
    </font>
    <font>
      <sz val="20"/>
      <name val="TH SarabunPSK"/>
      <family val="2"/>
    </font>
    <font>
      <b/>
      <sz val="24"/>
      <color rgb="FF000000"/>
      <name val="TH SarabunPSK"/>
      <family val="2"/>
    </font>
    <font>
      <sz val="18"/>
      <name val="TH SarabunPSK"/>
      <family val="2"/>
    </font>
    <font>
      <b/>
      <sz val="24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b/>
      <sz val="26"/>
      <color theme="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4"/>
      <color rgb="FFC00000"/>
      <name val="TH SarabunPSK"/>
      <family val="2"/>
    </font>
    <font>
      <b/>
      <sz val="9"/>
      <color theme="1"/>
      <name val="TH SarabunPSK"/>
      <family val="2"/>
    </font>
    <font>
      <sz val="11"/>
      <color theme="1"/>
      <name val="TH SarabunPSK"/>
      <family val="2"/>
    </font>
    <font>
      <b/>
      <sz val="14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rgb="FFC7FEB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CECE8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EFE5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EFEE8"/>
        <bgColor indexed="64"/>
      </patternFill>
    </fill>
    <fill>
      <patternFill patternType="solid">
        <fgColor rgb="FF1BAD03"/>
        <bgColor indexed="64"/>
      </patternFill>
    </fill>
    <fill>
      <patternFill patternType="solid">
        <fgColor rgb="FFD5E3FF"/>
        <bgColor indexed="64"/>
      </patternFill>
    </fill>
    <fill>
      <patternFill patternType="solid">
        <fgColor rgb="FFFFE28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FC1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27">
    <xf numFmtId="0" fontId="0" fillId="0" borderId="0" xfId="0"/>
    <xf numFmtId="0" fontId="3" fillId="0" borderId="1" xfId="0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2" fontId="7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15" fillId="5" borderId="5" xfId="0" applyFont="1" applyFill="1" applyBorder="1" applyAlignment="1" applyProtection="1">
      <alignment vertical="center" wrapText="1"/>
      <protection hidden="1"/>
    </xf>
    <xf numFmtId="0" fontId="15" fillId="5" borderId="6" xfId="0" applyFont="1" applyFill="1" applyBorder="1" applyAlignment="1" applyProtection="1">
      <alignment vertical="center" wrapText="1"/>
      <protection hidden="1"/>
    </xf>
    <xf numFmtId="0" fontId="15" fillId="5" borderId="7" xfId="0" applyFont="1" applyFill="1" applyBorder="1" applyAlignment="1" applyProtection="1">
      <alignment vertical="center" wrapText="1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2" fontId="9" fillId="0" borderId="0" xfId="0" applyNumberFormat="1" applyFont="1" applyFill="1" applyBorder="1" applyAlignment="1" applyProtection="1">
      <alignment vertical="center"/>
      <protection hidden="1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13" borderId="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2" fontId="11" fillId="13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19" fillId="17" borderId="26" xfId="0" applyFont="1" applyFill="1" applyBorder="1" applyAlignment="1" applyProtection="1">
      <alignment horizontal="center" vertical="center" wrapText="1" readingOrder="1"/>
      <protection hidden="1"/>
    </xf>
    <xf numFmtId="0" fontId="20" fillId="17" borderId="26" xfId="0" applyFont="1" applyFill="1" applyBorder="1" applyAlignment="1" applyProtection="1">
      <alignment horizontal="center" vertical="center" readingOrder="1"/>
      <protection hidden="1"/>
    </xf>
    <xf numFmtId="2" fontId="13" fillId="17" borderId="26" xfId="0" applyNumberFormat="1" applyFont="1" applyFill="1" applyBorder="1" applyAlignment="1" applyProtection="1">
      <alignment horizontal="center" vertical="center" wrapText="1"/>
      <protection hidden="1"/>
    </xf>
    <xf numFmtId="2" fontId="19" fillId="17" borderId="26" xfId="0" applyNumberFormat="1" applyFont="1" applyFill="1" applyBorder="1" applyAlignment="1" applyProtection="1">
      <alignment horizontal="center" vertical="center" readingOrder="1"/>
      <protection hidden="1"/>
    </xf>
    <xf numFmtId="0" fontId="19" fillId="18" borderId="27" xfId="0" applyFont="1" applyFill="1" applyBorder="1" applyAlignment="1" applyProtection="1">
      <alignment horizontal="center" vertical="center" wrapText="1" readingOrder="1"/>
      <protection hidden="1"/>
    </xf>
    <xf numFmtId="2" fontId="19" fillId="18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9" fillId="18" borderId="27" xfId="0" applyNumberFormat="1" applyFont="1" applyFill="1" applyBorder="1" applyAlignment="1" applyProtection="1">
      <alignment horizontal="center" vertical="center" readingOrder="1"/>
      <protection hidden="1"/>
    </xf>
    <xf numFmtId="2" fontId="13" fillId="18" borderId="27" xfId="0" applyNumberFormat="1" applyFont="1" applyFill="1" applyBorder="1" applyAlignment="1" applyProtection="1">
      <alignment horizontal="center" vertical="center" wrapText="1"/>
      <protection hidden="1"/>
    </xf>
    <xf numFmtId="0" fontId="19" fillId="19" borderId="27" xfId="0" applyFont="1" applyFill="1" applyBorder="1" applyAlignment="1" applyProtection="1">
      <alignment horizontal="center" vertical="center" wrapText="1" readingOrder="1"/>
      <protection hidden="1"/>
    </xf>
    <xf numFmtId="2" fontId="19" fillId="19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3" fillId="19" borderId="27" xfId="0" applyNumberFormat="1" applyFont="1" applyFill="1" applyBorder="1" applyAlignment="1" applyProtection="1">
      <alignment horizontal="center" vertical="center" wrapText="1"/>
      <protection hidden="1"/>
    </xf>
    <xf numFmtId="0" fontId="19" fillId="20" borderId="27" xfId="0" applyFont="1" applyFill="1" applyBorder="1" applyAlignment="1" applyProtection="1">
      <alignment horizontal="center" vertical="center" wrapText="1" readingOrder="1"/>
      <protection hidden="1"/>
    </xf>
    <xf numFmtId="2" fontId="13" fillId="20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3" fillId="20" borderId="27" xfId="0" applyNumberFormat="1" applyFont="1" applyFill="1" applyBorder="1" applyAlignment="1" applyProtection="1">
      <alignment horizontal="center" vertical="center" wrapText="1"/>
      <protection hidden="1"/>
    </xf>
    <xf numFmtId="0" fontId="19" fillId="6" borderId="27" xfId="0" applyFont="1" applyFill="1" applyBorder="1" applyAlignment="1" applyProtection="1">
      <alignment horizontal="center" vertical="center" wrapText="1" readingOrder="1"/>
      <protection hidden="1"/>
    </xf>
    <xf numFmtId="2" fontId="19" fillId="6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3" fillId="6" borderId="27" xfId="0" applyNumberFormat="1" applyFont="1" applyFill="1" applyBorder="1" applyAlignment="1" applyProtection="1">
      <alignment horizontal="center" vertical="center" readingOrder="1"/>
      <protection hidden="1"/>
    </xf>
    <xf numFmtId="2" fontId="13" fillId="6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3" fillId="6" borderId="27" xfId="0" applyNumberFormat="1" applyFont="1" applyFill="1" applyBorder="1" applyAlignment="1" applyProtection="1">
      <alignment horizontal="center" vertical="center" wrapText="1"/>
      <protection hidden="1"/>
    </xf>
    <xf numFmtId="0" fontId="19" fillId="21" borderId="27" xfId="0" applyFont="1" applyFill="1" applyBorder="1" applyAlignment="1" applyProtection="1">
      <alignment horizontal="center" vertical="center" wrapText="1" readingOrder="1"/>
      <protection hidden="1"/>
    </xf>
    <xf numFmtId="0" fontId="21" fillId="21" borderId="27" xfId="0" applyFont="1" applyFill="1" applyBorder="1" applyAlignment="1" applyProtection="1">
      <alignment horizontal="center" vertical="top" wrapText="1"/>
      <protection hidden="1"/>
    </xf>
    <xf numFmtId="2" fontId="19" fillId="22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3" fillId="22" borderId="27" xfId="0" applyNumberFormat="1" applyFont="1" applyFill="1" applyBorder="1" applyAlignment="1" applyProtection="1">
      <alignment horizontal="center" vertical="top" wrapText="1"/>
      <protection hidden="1"/>
    </xf>
    <xf numFmtId="2" fontId="0" fillId="0" borderId="0" xfId="0" applyNumberFormat="1" applyProtection="1">
      <protection hidden="1"/>
    </xf>
    <xf numFmtId="0" fontId="23" fillId="14" borderId="27" xfId="0" applyFont="1" applyFill="1" applyBorder="1" applyAlignment="1" applyProtection="1">
      <alignment horizontal="center" vertical="top" wrapText="1"/>
      <protection hidden="1"/>
    </xf>
    <xf numFmtId="0" fontId="9" fillId="14" borderId="27" xfId="0" applyFont="1" applyFill="1" applyBorder="1" applyAlignment="1" applyProtection="1">
      <alignment horizontal="center" vertical="top" wrapText="1"/>
      <protection hidden="1"/>
    </xf>
    <xf numFmtId="0" fontId="8" fillId="17" borderId="27" xfId="0" applyFont="1" applyFill="1" applyBorder="1" applyAlignment="1" applyProtection="1">
      <alignment vertical="center" wrapText="1"/>
      <protection hidden="1"/>
    </xf>
    <xf numFmtId="0" fontId="8" fillId="18" borderId="27" xfId="0" applyFont="1" applyFill="1" applyBorder="1" applyAlignment="1" applyProtection="1">
      <alignment vertical="center"/>
      <protection hidden="1"/>
    </xf>
    <xf numFmtId="0" fontId="8" fillId="19" borderId="27" xfId="0" applyFont="1" applyFill="1" applyBorder="1" applyAlignment="1" applyProtection="1">
      <alignment vertical="center" wrapText="1"/>
      <protection hidden="1"/>
    </xf>
    <xf numFmtId="0" fontId="8" fillId="20" borderId="27" xfId="0" applyFont="1" applyFill="1" applyBorder="1" applyAlignment="1" applyProtection="1">
      <alignment vertical="center" wrapText="1"/>
      <protection hidden="1"/>
    </xf>
    <xf numFmtId="0" fontId="8" fillId="6" borderId="27" xfId="0" applyFont="1" applyFill="1" applyBorder="1" applyAlignment="1" applyProtection="1">
      <alignment vertical="center" wrapText="1"/>
      <protection hidden="1"/>
    </xf>
    <xf numFmtId="0" fontId="8" fillId="22" borderId="27" xfId="0" applyFont="1" applyFill="1" applyBorder="1" applyAlignment="1" applyProtection="1">
      <alignment vertical="center" wrapText="1"/>
      <protection hidden="1"/>
    </xf>
    <xf numFmtId="0" fontId="10" fillId="0" borderId="0" xfId="0" applyFont="1" applyProtection="1">
      <protection hidden="1"/>
    </xf>
    <xf numFmtId="0" fontId="9" fillId="0" borderId="8" xfId="0" applyFont="1" applyBorder="1" applyAlignment="1" applyProtection="1">
      <alignment vertical="top" wrapText="1"/>
      <protection hidden="1"/>
    </xf>
    <xf numFmtId="188" fontId="9" fillId="0" borderId="0" xfId="1" applyNumberFormat="1" applyFont="1" applyFill="1" applyBorder="1" applyAlignment="1" applyProtection="1">
      <alignment vertical="center" wrapText="1"/>
      <protection hidden="1"/>
    </xf>
    <xf numFmtId="2" fontId="10" fillId="0" borderId="0" xfId="0" applyNumberFormat="1" applyFont="1" applyFill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188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vertical="top" wrapText="1"/>
      <protection hidden="1"/>
    </xf>
    <xf numFmtId="0" fontId="10" fillId="0" borderId="3" xfId="0" applyFont="1" applyFill="1" applyBorder="1" applyAlignment="1" applyProtection="1">
      <alignment vertical="top" wrapText="1"/>
      <protection hidden="1"/>
    </xf>
    <xf numFmtId="4" fontId="9" fillId="0" borderId="0" xfId="1" applyNumberFormat="1" applyFont="1" applyFill="1" applyBorder="1" applyAlignment="1" applyProtection="1">
      <alignment vertical="center" wrapText="1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Protection="1">
      <protection hidden="1"/>
    </xf>
    <xf numFmtId="0" fontId="10" fillId="9" borderId="2" xfId="0" applyFont="1" applyFill="1" applyBorder="1" applyAlignment="1" applyProtection="1">
      <alignment horizontal="center" vertical="center"/>
      <protection hidden="1"/>
    </xf>
    <xf numFmtId="0" fontId="10" fillId="11" borderId="2" xfId="0" applyFont="1" applyFill="1" applyBorder="1" applyAlignment="1" applyProtection="1">
      <alignment horizontal="center" vertical="center"/>
      <protection hidden="1"/>
    </xf>
    <xf numFmtId="0" fontId="15" fillId="12" borderId="2" xfId="0" applyFont="1" applyFill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vertical="top"/>
      <protection hidden="1"/>
    </xf>
    <xf numFmtId="0" fontId="10" fillId="0" borderId="0" xfId="0" applyFont="1" applyBorder="1" applyProtection="1">
      <protection hidden="1"/>
    </xf>
    <xf numFmtId="0" fontId="8" fillId="24" borderId="16" xfId="0" applyFont="1" applyFill="1" applyBorder="1" applyAlignment="1" applyProtection="1">
      <alignment horizontal="center" vertical="center" wrapText="1" readingOrder="1"/>
      <protection hidden="1"/>
    </xf>
    <xf numFmtId="0" fontId="25" fillId="24" borderId="20" xfId="0" applyFont="1" applyFill="1" applyBorder="1" applyAlignment="1" applyProtection="1">
      <alignment horizontal="left" vertical="center" readingOrder="1"/>
      <protection hidden="1"/>
    </xf>
    <xf numFmtId="0" fontId="25" fillId="24" borderId="25" xfId="0" applyFont="1" applyFill="1" applyBorder="1" applyAlignment="1" applyProtection="1">
      <alignment horizontal="left" vertical="center" readingOrder="1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27" fillId="23" borderId="27" xfId="0" applyFont="1" applyFill="1" applyBorder="1" applyAlignment="1" applyProtection="1">
      <alignment horizontal="center" vertical="center" wrapText="1"/>
      <protection hidden="1"/>
    </xf>
    <xf numFmtId="0" fontId="15" fillId="5" borderId="12" xfId="0" applyFont="1" applyFill="1" applyBorder="1" applyAlignment="1" applyProtection="1">
      <alignment vertical="center" wrapText="1"/>
      <protection hidden="1"/>
    </xf>
    <xf numFmtId="0" fontId="4" fillId="0" borderId="5" xfId="0" applyFont="1" applyFill="1" applyBorder="1" applyAlignment="1" applyProtection="1">
      <alignment vertical="center" wrapText="1"/>
      <protection hidden="1"/>
    </xf>
    <xf numFmtId="0" fontId="4" fillId="0" borderId="6" xfId="0" applyFont="1" applyFill="1" applyBorder="1" applyAlignment="1" applyProtection="1">
      <alignment vertical="center" wrapText="1"/>
      <protection hidden="1"/>
    </xf>
    <xf numFmtId="0" fontId="4" fillId="0" borderId="7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4" fontId="26" fillId="0" borderId="0" xfId="1" applyNumberFormat="1" applyFont="1" applyFill="1" applyBorder="1" applyAlignment="1" applyProtection="1">
      <alignment vertical="center" wrapText="1"/>
      <protection hidden="1"/>
    </xf>
    <xf numFmtId="188" fontId="26" fillId="0" borderId="0" xfId="1" applyNumberFormat="1" applyFont="1" applyFill="1" applyBorder="1" applyAlignment="1" applyProtection="1">
      <alignment vertical="center" wrapText="1"/>
      <protection hidden="1"/>
    </xf>
    <xf numFmtId="2" fontId="28" fillId="0" borderId="0" xfId="0" applyNumberFormat="1" applyFont="1" applyFill="1" applyBorder="1" applyAlignment="1" applyProtection="1">
      <alignment horizontal="center" vertical="center"/>
      <protection hidden="1"/>
    </xf>
    <xf numFmtId="2" fontId="28" fillId="0" borderId="0" xfId="0" applyNumberFormat="1" applyFont="1" applyFill="1" applyBorder="1" applyProtection="1">
      <protection hidden="1"/>
    </xf>
    <xf numFmtId="0" fontId="28" fillId="0" borderId="0" xfId="0" applyFont="1" applyFill="1" applyBorder="1" applyProtection="1">
      <protection hidden="1"/>
    </xf>
    <xf numFmtId="188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Protection="1">
      <protection hidden="1"/>
    </xf>
    <xf numFmtId="0" fontId="28" fillId="0" borderId="2" xfId="0" applyFont="1" applyBorder="1" applyAlignment="1" applyProtection="1">
      <alignment horizontal="center" vertical="center"/>
      <protection hidden="1"/>
    </xf>
    <xf numFmtId="0" fontId="28" fillId="9" borderId="2" xfId="0" applyFont="1" applyFill="1" applyBorder="1" applyAlignment="1" applyProtection="1">
      <alignment horizontal="center" vertical="center"/>
      <protection hidden="1"/>
    </xf>
    <xf numFmtId="0" fontId="28" fillId="11" borderId="2" xfId="0" applyFont="1" applyFill="1" applyBorder="1" applyAlignment="1" applyProtection="1">
      <alignment horizontal="center" vertical="center"/>
      <protection hidden="1"/>
    </xf>
    <xf numFmtId="0" fontId="29" fillId="12" borderId="2" xfId="0" applyFont="1" applyFill="1" applyBorder="1" applyAlignment="1" applyProtection="1">
      <alignment vertical="center"/>
      <protection hidden="1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25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hidden="1"/>
    </xf>
    <xf numFmtId="0" fontId="9" fillId="0" borderId="3" xfId="0" applyFont="1" applyBorder="1" applyAlignment="1" applyProtection="1">
      <alignment vertical="top" wrapText="1"/>
      <protection hidden="1"/>
    </xf>
    <xf numFmtId="2" fontId="5" fillId="24" borderId="2" xfId="0" applyNumberFormat="1" applyFont="1" applyFill="1" applyBorder="1" applyAlignment="1" applyProtection="1">
      <alignment horizontal="center" vertical="center"/>
      <protection hidden="1"/>
    </xf>
    <xf numFmtId="2" fontId="31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14" borderId="2" xfId="0" applyNumberFormat="1" applyFont="1" applyFill="1" applyBorder="1" applyAlignment="1" applyProtection="1">
      <alignment horizontal="center" vertical="center"/>
      <protection hidden="1"/>
    </xf>
    <xf numFmtId="0" fontId="4" fillId="26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vertical="top" wrapText="1"/>
      <protection hidden="1"/>
    </xf>
    <xf numFmtId="0" fontId="32" fillId="0" borderId="0" xfId="0" applyFont="1"/>
    <xf numFmtId="0" fontId="15" fillId="5" borderId="13" xfId="0" applyFont="1" applyFill="1" applyBorder="1" applyAlignment="1" applyProtection="1">
      <alignment vertical="center" wrapText="1"/>
      <protection hidden="1"/>
    </xf>
    <xf numFmtId="0" fontId="15" fillId="5" borderId="14" xfId="0" applyFont="1" applyFill="1" applyBorder="1" applyAlignment="1" applyProtection="1">
      <alignment vertical="center" wrapText="1"/>
      <protection hidden="1"/>
    </xf>
    <xf numFmtId="2" fontId="31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2" xfId="0" applyNumberFormat="1" applyFont="1" applyBorder="1" applyAlignment="1" applyProtection="1">
      <alignment horizontal="center" vertical="center"/>
      <protection hidden="1"/>
    </xf>
    <xf numFmtId="0" fontId="10" fillId="14" borderId="3" xfId="0" applyFont="1" applyFill="1" applyBorder="1" applyAlignment="1" applyProtection="1">
      <alignment vertical="top" wrapText="1"/>
      <protection hidden="1"/>
    </xf>
    <xf numFmtId="0" fontId="10" fillId="14" borderId="4" xfId="0" applyFont="1" applyFill="1" applyBorder="1" applyAlignment="1" applyProtection="1">
      <alignment vertical="top" wrapText="1"/>
      <protection hidden="1"/>
    </xf>
    <xf numFmtId="0" fontId="10" fillId="14" borderId="11" xfId="0" applyFont="1" applyFill="1" applyBorder="1" applyAlignment="1" applyProtection="1">
      <alignment vertical="top" wrapText="1"/>
      <protection hidden="1"/>
    </xf>
    <xf numFmtId="0" fontId="30" fillId="7" borderId="2" xfId="0" applyFont="1" applyFill="1" applyBorder="1" applyAlignment="1" applyProtection="1">
      <alignment vertical="center"/>
      <protection hidden="1"/>
    </xf>
    <xf numFmtId="2" fontId="10" fillId="0" borderId="5" xfId="0" applyNumberFormat="1" applyFont="1" applyFill="1" applyBorder="1" applyAlignment="1" applyProtection="1">
      <alignment horizontal="center" vertical="center"/>
      <protection locked="0"/>
    </xf>
    <xf numFmtId="2" fontId="10" fillId="0" borderId="7" xfId="0" applyNumberFormat="1" applyFont="1" applyFill="1" applyBorder="1" applyAlignment="1" applyProtection="1">
      <alignment horizontal="center" vertical="center"/>
      <protection locked="0"/>
    </xf>
    <xf numFmtId="189" fontId="10" fillId="0" borderId="5" xfId="0" applyNumberFormat="1" applyFont="1" applyFill="1" applyBorder="1" applyAlignment="1" applyProtection="1">
      <alignment horizontal="center" vertical="center"/>
      <protection locked="0"/>
    </xf>
    <xf numFmtId="189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10" borderId="2" xfId="0" applyFont="1" applyFill="1" applyBorder="1" applyAlignment="1" applyProtection="1">
      <alignment vertical="center"/>
      <protection hidden="1"/>
    </xf>
    <xf numFmtId="0" fontId="16" fillId="10" borderId="2" xfId="0" applyFont="1" applyFill="1" applyBorder="1" applyAlignment="1" applyProtection="1">
      <alignment vertical="center"/>
      <protection hidden="1"/>
    </xf>
    <xf numFmtId="0" fontId="16" fillId="10" borderId="3" xfId="0" applyFont="1" applyFill="1" applyBorder="1" applyAlignment="1" applyProtection="1">
      <alignment vertical="center"/>
      <protection hidden="1"/>
    </xf>
    <xf numFmtId="0" fontId="8" fillId="5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12" fillId="16" borderId="12" xfId="0" applyFont="1" applyFill="1" applyBorder="1" applyAlignment="1" applyProtection="1">
      <alignment horizontal="center"/>
      <protection hidden="1"/>
    </xf>
    <xf numFmtId="0" fontId="12" fillId="16" borderId="13" xfId="0" applyFont="1" applyFill="1" applyBorder="1" applyAlignment="1" applyProtection="1">
      <alignment horizontal="center"/>
      <protection hidden="1"/>
    </xf>
    <xf numFmtId="0" fontId="12" fillId="16" borderId="14" xfId="0" applyFont="1" applyFill="1" applyBorder="1" applyAlignment="1" applyProtection="1">
      <alignment horizontal="center"/>
      <protection hidden="1"/>
    </xf>
    <xf numFmtId="4" fontId="17" fillId="0" borderId="5" xfId="0" applyNumberFormat="1" applyFont="1" applyFill="1" applyBorder="1" applyAlignment="1" applyProtection="1">
      <alignment horizontal="center" vertical="center"/>
      <protection locked="0"/>
    </xf>
    <xf numFmtId="4" fontId="17" fillId="0" borderId="6" xfId="0" applyNumberFormat="1" applyFont="1" applyFill="1" applyBorder="1" applyAlignment="1" applyProtection="1">
      <alignment horizontal="center" vertical="center"/>
      <protection locked="0"/>
    </xf>
    <xf numFmtId="4" fontId="17" fillId="0" borderId="7" xfId="0" applyNumberFormat="1" applyFont="1" applyFill="1" applyBorder="1" applyAlignment="1" applyProtection="1">
      <alignment horizontal="center" vertical="center"/>
      <protection locked="0"/>
    </xf>
    <xf numFmtId="2" fontId="11" fillId="0" borderId="3" xfId="0" applyNumberFormat="1" applyFont="1" applyBorder="1" applyAlignment="1" applyProtection="1">
      <alignment horizontal="center" vertical="center"/>
      <protection hidden="1"/>
    </xf>
    <xf numFmtId="2" fontId="11" fillId="0" borderId="4" xfId="0" applyNumberFormat="1" applyFont="1" applyBorder="1" applyAlignment="1" applyProtection="1">
      <alignment horizontal="center" vertical="center"/>
      <protection hidden="1"/>
    </xf>
    <xf numFmtId="2" fontId="11" fillId="0" borderId="11" xfId="0" applyNumberFormat="1" applyFont="1" applyBorder="1" applyAlignment="1" applyProtection="1">
      <alignment horizontal="center" vertical="center"/>
      <protection hidden="1"/>
    </xf>
    <xf numFmtId="0" fontId="14" fillId="9" borderId="2" xfId="0" applyFont="1" applyFill="1" applyBorder="1" applyAlignment="1" applyProtection="1">
      <alignment vertical="center"/>
      <protection hidden="1"/>
    </xf>
    <xf numFmtId="0" fontId="16" fillId="9" borderId="2" xfId="0" applyFont="1" applyFill="1" applyBorder="1" applyAlignment="1" applyProtection="1">
      <alignment vertical="center"/>
      <protection hidden="1"/>
    </xf>
    <xf numFmtId="3" fontId="8" fillId="5" borderId="8" xfId="1" applyNumberFormat="1" applyFont="1" applyFill="1" applyBorder="1" applyAlignment="1" applyProtection="1">
      <alignment horizontal="center" vertical="center" wrapText="1"/>
      <protection locked="0"/>
    </xf>
    <xf numFmtId="3" fontId="8" fillId="5" borderId="9" xfId="1" applyNumberFormat="1" applyFont="1" applyFill="1" applyBorder="1" applyAlignment="1" applyProtection="1">
      <alignment horizontal="center" vertical="center" wrapText="1"/>
      <protection locked="0"/>
    </xf>
    <xf numFmtId="3" fontId="9" fillId="5" borderId="8" xfId="1" applyNumberFormat="1" applyFont="1" applyFill="1" applyBorder="1" applyAlignment="1" applyProtection="1">
      <alignment horizontal="center" vertical="center" wrapText="1"/>
      <protection locked="0"/>
    </xf>
    <xf numFmtId="3" fontId="9" fillId="5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3" fontId="9" fillId="5" borderId="5" xfId="1" applyNumberFormat="1" applyFont="1" applyFill="1" applyBorder="1" applyAlignment="1" applyProtection="1">
      <alignment horizontal="center" vertical="center" wrapText="1"/>
      <protection locked="0"/>
    </xf>
    <xf numFmtId="3" fontId="9" fillId="5" borderId="6" xfId="1" applyNumberFormat="1" applyFont="1" applyFill="1" applyBorder="1" applyAlignment="1" applyProtection="1">
      <alignment horizontal="center" vertical="center" wrapText="1"/>
      <protection locked="0"/>
    </xf>
    <xf numFmtId="3" fontId="9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2" fontId="4" fillId="0" borderId="6" xfId="0" applyNumberFormat="1" applyFont="1" applyBorder="1" applyAlignment="1" applyProtection="1">
      <alignment horizontal="center" vertical="center"/>
      <protection hidden="1"/>
    </xf>
    <xf numFmtId="2" fontId="4" fillId="0" borderId="7" xfId="0" applyNumberFormat="1" applyFont="1" applyBorder="1" applyAlignment="1" applyProtection="1">
      <alignment horizontal="center" vertical="center"/>
      <protection hidden="1"/>
    </xf>
    <xf numFmtId="0" fontId="8" fillId="5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7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6" xfId="0" applyNumberFormat="1" applyFont="1" applyBorder="1" applyAlignment="1" applyProtection="1">
      <alignment horizontal="center" vertical="center"/>
      <protection hidden="1"/>
    </xf>
    <xf numFmtId="2" fontId="10" fillId="0" borderId="7" xfId="0" applyNumberFormat="1" applyFont="1" applyBorder="1" applyAlignment="1" applyProtection="1">
      <alignment horizontal="center" vertical="center"/>
      <protection hidden="1"/>
    </xf>
    <xf numFmtId="0" fontId="10" fillId="2" borderId="3" xfId="0" applyFont="1" applyFill="1" applyBorder="1" applyAlignment="1" applyProtection="1">
      <alignment vertical="top" wrapText="1"/>
      <protection hidden="1"/>
    </xf>
    <xf numFmtId="0" fontId="10" fillId="2" borderId="4" xfId="0" applyFont="1" applyFill="1" applyBorder="1" applyAlignment="1" applyProtection="1">
      <alignment vertical="top" wrapText="1"/>
      <protection hidden="1"/>
    </xf>
    <xf numFmtId="0" fontId="10" fillId="2" borderId="11" xfId="0" applyFont="1" applyFill="1" applyBorder="1" applyAlignment="1" applyProtection="1">
      <alignment vertical="top" wrapText="1"/>
      <protection hidden="1"/>
    </xf>
    <xf numFmtId="0" fontId="10" fillId="0" borderId="2" xfId="0" applyFont="1" applyBorder="1" applyAlignment="1" applyProtection="1">
      <alignment vertical="top" wrapText="1"/>
      <protection hidden="1"/>
    </xf>
    <xf numFmtId="0" fontId="17" fillId="0" borderId="2" xfId="0" applyFont="1" applyBorder="1" applyAlignment="1" applyProtection="1">
      <protection hidden="1"/>
    </xf>
    <xf numFmtId="4" fontId="8" fillId="5" borderId="2" xfId="0" applyNumberFormat="1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right" vertical="center" wrapText="1"/>
      <protection hidden="1"/>
    </xf>
    <xf numFmtId="0" fontId="10" fillId="0" borderId="9" xfId="0" applyFont="1" applyBorder="1" applyAlignment="1" applyProtection="1">
      <alignment horizontal="right" vertical="center" wrapText="1"/>
      <protection hidden="1"/>
    </xf>
    <xf numFmtId="0" fontId="10" fillId="0" borderId="12" xfId="0" applyFont="1" applyBorder="1" applyAlignment="1" applyProtection="1">
      <alignment horizontal="right" vertical="center" wrapText="1"/>
      <protection hidden="1"/>
    </xf>
    <xf numFmtId="0" fontId="10" fillId="0" borderId="13" xfId="0" applyFont="1" applyBorder="1" applyAlignment="1" applyProtection="1">
      <alignment horizontal="right" vertical="center" wrapText="1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2" fontId="2" fillId="0" borderId="13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 vertical="center"/>
      <protection hidden="1"/>
    </xf>
    <xf numFmtId="188" fontId="9" fillId="5" borderId="11" xfId="1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protection hidden="1"/>
    </xf>
    <xf numFmtId="188" fontId="9" fillId="5" borderId="5" xfId="1" applyNumberFormat="1" applyFont="1" applyFill="1" applyBorder="1" applyAlignment="1" applyProtection="1">
      <alignment horizontal="center" vertical="center"/>
      <protection locked="0"/>
    </xf>
    <xf numFmtId="188" fontId="9" fillId="5" borderId="6" xfId="1" applyNumberFormat="1" applyFont="1" applyFill="1" applyBorder="1" applyAlignment="1" applyProtection="1">
      <alignment horizontal="center" vertical="center"/>
      <protection locked="0"/>
    </xf>
    <xf numFmtId="188" fontId="9" fillId="5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33" fillId="0" borderId="3" xfId="0" applyFont="1" applyBorder="1" applyAlignment="1" applyProtection="1">
      <alignment horizontal="center" vertical="center" wrapText="1"/>
      <protection hidden="1"/>
    </xf>
    <xf numFmtId="0" fontId="33" fillId="0" borderId="4" xfId="0" applyFont="1" applyBorder="1" applyAlignment="1" applyProtection="1">
      <alignment horizontal="center" vertical="center"/>
      <protection hidden="1"/>
    </xf>
    <xf numFmtId="0" fontId="33" fillId="0" borderId="11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2" fillId="27" borderId="5" xfId="0" applyFont="1" applyFill="1" applyBorder="1" applyAlignment="1" applyProtection="1">
      <alignment horizontal="center" vertical="center"/>
      <protection hidden="1"/>
    </xf>
    <xf numFmtId="0" fontId="2" fillId="27" borderId="6" xfId="0" applyFont="1" applyFill="1" applyBorder="1" applyAlignment="1" applyProtection="1">
      <alignment horizontal="center" vertical="center"/>
      <protection hidden="1"/>
    </xf>
    <xf numFmtId="0" fontId="2" fillId="27" borderId="7" xfId="0" applyFont="1" applyFill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2" fontId="11" fillId="0" borderId="10" xfId="0" applyNumberFormat="1" applyFont="1" applyBorder="1" applyAlignment="1" applyProtection="1">
      <alignment horizontal="center" vertical="center" wrapText="1"/>
      <protection hidden="1"/>
    </xf>
    <xf numFmtId="2" fontId="11" fillId="0" borderId="14" xfId="0" applyNumberFormat="1" applyFont="1" applyBorder="1" applyAlignment="1" applyProtection="1">
      <alignment horizontal="center" vertical="center" wrapText="1"/>
      <protection hidden="1"/>
    </xf>
    <xf numFmtId="0" fontId="8" fillId="5" borderId="2" xfId="0" applyNumberFormat="1" applyFont="1" applyFill="1" applyBorder="1" applyAlignment="1" applyProtection="1">
      <alignment horizontal="center" vertical="top"/>
      <protection locked="0"/>
    </xf>
    <xf numFmtId="188" fontId="9" fillId="5" borderId="2" xfId="1" applyNumberFormat="1" applyFont="1" applyFill="1" applyBorder="1" applyAlignment="1" applyProtection="1">
      <alignment horizontal="center" vertical="center"/>
      <protection locked="0"/>
    </xf>
    <xf numFmtId="3" fontId="8" fillId="5" borderId="5" xfId="1" applyNumberFormat="1" applyFont="1" applyFill="1" applyBorder="1" applyAlignment="1" applyProtection="1">
      <alignment horizontal="center" vertical="center" wrapText="1"/>
      <protection locked="0"/>
    </xf>
    <xf numFmtId="3" fontId="8" fillId="5" borderId="6" xfId="1" applyNumberFormat="1" applyFont="1" applyFill="1" applyBorder="1" applyAlignment="1" applyProtection="1">
      <alignment horizontal="center" vertical="center" wrapText="1"/>
      <protection locked="0"/>
    </xf>
    <xf numFmtId="3" fontId="8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8" borderId="0" xfId="0" applyFont="1" applyFill="1" applyAlignment="1" applyProtection="1">
      <alignment horizontal="left" vertical="center"/>
      <protection hidden="1"/>
    </xf>
    <xf numFmtId="0" fontId="19" fillId="22" borderId="28" xfId="0" applyFont="1" applyFill="1" applyBorder="1" applyAlignment="1" applyProtection="1">
      <alignment horizontal="center" vertical="center" wrapText="1" readingOrder="1"/>
      <protection hidden="1"/>
    </xf>
    <xf numFmtId="0" fontId="19" fillId="22" borderId="29" xfId="0" applyFont="1" applyFill="1" applyBorder="1" applyAlignment="1" applyProtection="1">
      <alignment horizontal="center" vertical="center" wrapText="1" readingOrder="1"/>
      <protection hidden="1"/>
    </xf>
    <xf numFmtId="0" fontId="22" fillId="14" borderId="28" xfId="0" applyFont="1" applyFill="1" applyBorder="1" applyAlignment="1" applyProtection="1">
      <alignment horizontal="center" vertical="center" wrapText="1" readingOrder="1"/>
      <protection hidden="1"/>
    </xf>
    <xf numFmtId="0" fontId="22" fillId="14" borderId="29" xfId="0" applyFont="1" applyFill="1" applyBorder="1" applyAlignment="1" applyProtection="1">
      <alignment horizontal="center" vertical="center" wrapText="1" readingOrder="1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9" fillId="24" borderId="16" xfId="0" applyFont="1" applyFill="1" applyBorder="1" applyAlignment="1" applyProtection="1">
      <alignment horizontal="center" vertical="center" wrapText="1" readingOrder="1"/>
      <protection hidden="1"/>
    </xf>
    <xf numFmtId="0" fontId="9" fillId="24" borderId="20" xfId="0" applyFont="1" applyFill="1" applyBorder="1" applyAlignment="1" applyProtection="1">
      <alignment horizontal="center" vertical="center" wrapText="1" readingOrder="1"/>
      <protection hidden="1"/>
    </xf>
    <xf numFmtId="0" fontId="9" fillId="24" borderId="25" xfId="0" applyFont="1" applyFill="1" applyBorder="1" applyAlignment="1" applyProtection="1">
      <alignment horizontal="center" vertical="center" wrapText="1" readingOrder="1"/>
      <protection hidden="1"/>
    </xf>
    <xf numFmtId="0" fontId="24" fillId="24" borderId="17" xfId="0" applyFont="1" applyFill="1" applyBorder="1" applyAlignment="1" applyProtection="1">
      <alignment horizontal="center" vertical="center" readingOrder="1"/>
      <protection hidden="1"/>
    </xf>
    <xf numFmtId="0" fontId="24" fillId="24" borderId="18" xfId="0" applyFont="1" applyFill="1" applyBorder="1" applyAlignment="1" applyProtection="1">
      <alignment horizontal="center" vertical="center" readingOrder="1"/>
      <protection hidden="1"/>
    </xf>
    <xf numFmtId="0" fontId="24" fillId="24" borderId="19" xfId="0" applyFont="1" applyFill="1" applyBorder="1" applyAlignment="1" applyProtection="1">
      <alignment horizontal="center" vertical="center" readingOrder="1"/>
      <protection hidden="1"/>
    </xf>
    <xf numFmtId="0" fontId="24" fillId="24" borderId="21" xfId="0" applyFont="1" applyFill="1" applyBorder="1" applyAlignment="1" applyProtection="1">
      <alignment horizontal="center" vertical="center" readingOrder="1"/>
      <protection hidden="1"/>
    </xf>
    <xf numFmtId="0" fontId="24" fillId="24" borderId="0" xfId="0" applyFont="1" applyFill="1" applyBorder="1" applyAlignment="1" applyProtection="1">
      <alignment horizontal="center" vertical="center" readingOrder="1"/>
      <protection hidden="1"/>
    </xf>
    <xf numFmtId="0" fontId="24" fillId="24" borderId="22" xfId="0" applyFont="1" applyFill="1" applyBorder="1" applyAlignment="1" applyProtection="1">
      <alignment horizontal="center" vertical="center" readingOrder="1"/>
      <protection hidden="1"/>
    </xf>
    <xf numFmtId="0" fontId="24" fillId="24" borderId="23" xfId="0" applyFont="1" applyFill="1" applyBorder="1" applyAlignment="1" applyProtection="1">
      <alignment horizontal="center" vertical="center" readingOrder="1"/>
      <protection hidden="1"/>
    </xf>
    <xf numFmtId="0" fontId="24" fillId="24" borderId="15" xfId="0" applyFont="1" applyFill="1" applyBorder="1" applyAlignment="1" applyProtection="1">
      <alignment horizontal="center" vertical="center" readingOrder="1"/>
      <protection hidden="1"/>
    </xf>
    <xf numFmtId="0" fontId="24" fillId="24" borderId="24" xfId="0" applyFont="1" applyFill="1" applyBorder="1" applyAlignment="1" applyProtection="1">
      <alignment horizontal="center" vertical="center" readingOrder="1"/>
      <protection hidden="1"/>
    </xf>
    <xf numFmtId="0" fontId="8" fillId="24" borderId="16" xfId="0" applyFont="1" applyFill="1" applyBorder="1" applyAlignment="1" applyProtection="1">
      <alignment horizontal="center" vertical="center" readingOrder="1"/>
      <protection hidden="1"/>
    </xf>
    <xf numFmtId="0" fontId="8" fillId="24" borderId="20" xfId="0" applyFont="1" applyFill="1" applyBorder="1" applyAlignment="1" applyProtection="1">
      <alignment horizontal="center" vertical="center" readingOrder="1"/>
      <protection hidden="1"/>
    </xf>
    <xf numFmtId="0" fontId="8" fillId="24" borderId="25" xfId="0" applyFont="1" applyFill="1" applyBorder="1" applyAlignment="1" applyProtection="1">
      <alignment horizontal="center" vertical="center" readingOrder="1"/>
      <protection hidden="1"/>
    </xf>
    <xf numFmtId="0" fontId="24" fillId="24" borderId="16" xfId="0" applyFont="1" applyFill="1" applyBorder="1" applyAlignment="1" applyProtection="1">
      <alignment horizontal="center" vertical="center" readingOrder="1"/>
      <protection hidden="1"/>
    </xf>
    <xf numFmtId="0" fontId="24" fillId="24" borderId="20" xfId="0" applyFont="1" applyFill="1" applyBorder="1" applyAlignment="1" applyProtection="1">
      <alignment horizontal="center" vertical="center" readingOrder="1"/>
      <protection hidden="1"/>
    </xf>
    <xf numFmtId="0" fontId="24" fillId="24" borderId="25" xfId="0" applyFont="1" applyFill="1" applyBorder="1" applyAlignment="1" applyProtection="1">
      <alignment horizontal="center" vertical="center" readingOrder="1"/>
      <protection hidden="1"/>
    </xf>
    <xf numFmtId="0" fontId="24" fillId="24" borderId="16" xfId="0" applyFont="1" applyFill="1" applyBorder="1" applyAlignment="1" applyProtection="1">
      <alignment horizontal="center" vertical="center" wrapText="1" readingOrder="1"/>
      <protection hidden="1"/>
    </xf>
    <xf numFmtId="0" fontId="24" fillId="24" borderId="20" xfId="0" applyFont="1" applyFill="1" applyBorder="1" applyAlignment="1" applyProtection="1">
      <alignment horizontal="center" vertical="center" wrapText="1" readingOrder="1"/>
      <protection hidden="1"/>
    </xf>
    <xf numFmtId="0" fontId="24" fillId="24" borderId="25" xfId="0" applyFont="1" applyFill="1" applyBorder="1" applyAlignment="1" applyProtection="1">
      <alignment horizontal="center" vertical="center" wrapText="1" readingOrder="1"/>
      <protection hidden="1"/>
    </xf>
    <xf numFmtId="0" fontId="4" fillId="4" borderId="15" xfId="0" applyFont="1" applyFill="1" applyBorder="1" applyAlignment="1" applyProtection="1">
      <alignment horizont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  <color rgb="FFEFC1FF"/>
      <color rgb="FFE393FF"/>
      <color rgb="FF66FFFF"/>
      <color rgb="FFD5E3FF"/>
      <color rgb="FFFFE28F"/>
      <color rgb="FFFF66FF"/>
      <color rgb="FFAFCA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0</xdr:row>
      <xdr:rowOff>200025</xdr:rowOff>
    </xdr:from>
    <xdr:to>
      <xdr:col>0</xdr:col>
      <xdr:colOff>4276725</xdr:colOff>
      <xdr:row>1</xdr:row>
      <xdr:rowOff>49530</xdr:rowOff>
    </xdr:to>
    <xdr:grpSp>
      <xdr:nvGrpSpPr>
        <xdr:cNvPr id="2" name="Group 1"/>
        <xdr:cNvGrpSpPr/>
      </xdr:nvGrpSpPr>
      <xdr:grpSpPr>
        <a:xfrm>
          <a:off x="304799" y="200025"/>
          <a:ext cx="3971926" cy="182880"/>
          <a:chOff x="371475" y="200024"/>
          <a:chExt cx="2752725" cy="182880"/>
        </a:xfrm>
      </xdr:grpSpPr>
      <xdr:cxnSp macro="">
        <xdr:nvCxnSpPr>
          <xdr:cNvPr id="3" name="Straight Connector 2"/>
          <xdr:cNvCxnSpPr/>
        </xdr:nvCxnSpPr>
        <xdr:spPr>
          <a:xfrm flipH="1" flipV="1">
            <a:off x="381000" y="209550"/>
            <a:ext cx="2743200" cy="0"/>
          </a:xfrm>
          <a:prstGeom prst="line">
            <a:avLst/>
          </a:prstGeom>
          <a:ln w="317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Arrow Connector 3"/>
          <xdr:cNvCxnSpPr/>
        </xdr:nvCxnSpPr>
        <xdr:spPr>
          <a:xfrm flipH="1">
            <a:off x="371475" y="200024"/>
            <a:ext cx="0" cy="182880"/>
          </a:xfrm>
          <a:prstGeom prst="straightConnector1">
            <a:avLst/>
          </a:prstGeom>
          <a:ln w="31750">
            <a:solidFill>
              <a:srgbClr val="FF0000"/>
            </a:solidFill>
            <a:tailEnd type="stealth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CJ34"/>
  <sheetViews>
    <sheetView showGridLines="0" zoomScaleNormal="100" workbookViewId="0">
      <pane xSplit="1" ySplit="6" topLeftCell="B26" activePane="bottomRight" state="frozen"/>
      <selection pane="topRight" activeCell="B1" sqref="B1"/>
      <selection pane="bottomLeft" activeCell="A7" sqref="A7"/>
      <selection pane="bottomRight" activeCell="K28" sqref="K28"/>
    </sheetView>
  </sheetViews>
  <sheetFormatPr defaultColWidth="9.125" defaultRowHeight="21" x14ac:dyDescent="0.35"/>
  <cols>
    <col min="1" max="1" width="112.875" style="54" customWidth="1"/>
    <col min="2" max="10" width="4" style="54" customWidth="1"/>
    <col min="11" max="11" width="17.875" style="54" customWidth="1"/>
    <col min="12" max="13" width="5.75" style="54" customWidth="1"/>
    <col min="14" max="15" width="9" style="54" customWidth="1"/>
    <col min="16" max="17" width="9.75" style="54" customWidth="1"/>
    <col min="18" max="78" width="9.125" style="54" customWidth="1"/>
    <col min="79" max="79" width="9.625" style="54" hidden="1" customWidth="1"/>
    <col min="80" max="88" width="9.125" style="54" hidden="1" customWidth="1"/>
    <col min="89" max="95" width="9.125" style="54" customWidth="1"/>
    <col min="96" max="16384" width="9.125" style="54"/>
  </cols>
  <sheetData>
    <row r="1" spans="1:88" ht="26.25" x14ac:dyDescent="0.4">
      <c r="A1" s="167" t="s">
        <v>29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88" ht="26.25" x14ac:dyDescent="0.35">
      <c r="A2" s="168" t="s">
        <v>47</v>
      </c>
      <c r="B2" s="169"/>
      <c r="C2" s="169"/>
      <c r="D2" s="169"/>
      <c r="E2" s="169"/>
      <c r="F2" s="169"/>
      <c r="G2" s="169"/>
      <c r="H2" s="169"/>
      <c r="I2" s="169"/>
      <c r="J2" s="169"/>
      <c r="K2" s="170"/>
    </row>
    <row r="3" spans="1:88" ht="28.5" x14ac:dyDescent="0.35">
      <c r="A3" s="1" t="s">
        <v>46</v>
      </c>
      <c r="B3" s="171">
        <v>9</v>
      </c>
      <c r="C3" s="172"/>
      <c r="D3" s="187" t="s">
        <v>44</v>
      </c>
      <c r="E3" s="188"/>
      <c r="F3" s="188"/>
      <c r="G3" s="188"/>
      <c r="H3" s="188"/>
      <c r="I3" s="188"/>
      <c r="J3" s="188"/>
      <c r="K3" s="189"/>
      <c r="L3" s="2"/>
    </row>
    <row r="4" spans="1:88" ht="23.25" x14ac:dyDescent="0.35">
      <c r="A4" s="173" t="s">
        <v>30</v>
      </c>
      <c r="B4" s="176" t="s">
        <v>0</v>
      </c>
      <c r="C4" s="176"/>
      <c r="D4" s="176"/>
      <c r="E4" s="176"/>
      <c r="F4" s="176"/>
      <c r="G4" s="176"/>
      <c r="H4" s="176"/>
      <c r="I4" s="176"/>
      <c r="J4" s="176"/>
      <c r="K4" s="177" t="s">
        <v>45</v>
      </c>
    </row>
    <row r="5" spans="1:88" x14ac:dyDescent="0.35">
      <c r="A5" s="174"/>
      <c r="B5" s="139" t="s">
        <v>1</v>
      </c>
      <c r="C5" s="140"/>
      <c r="D5" s="140"/>
      <c r="E5" s="140"/>
      <c r="F5" s="180"/>
      <c r="G5" s="181" t="s">
        <v>2</v>
      </c>
      <c r="H5" s="182"/>
      <c r="I5" s="182"/>
      <c r="J5" s="183"/>
      <c r="K5" s="178"/>
    </row>
    <row r="6" spans="1:88" x14ac:dyDescent="0.35">
      <c r="A6" s="175"/>
      <c r="B6" s="139" t="s">
        <v>3</v>
      </c>
      <c r="C6" s="140"/>
      <c r="D6" s="140"/>
      <c r="E6" s="140"/>
      <c r="F6" s="180"/>
      <c r="G6" s="184"/>
      <c r="H6" s="185"/>
      <c r="I6" s="185"/>
      <c r="J6" s="186"/>
      <c r="K6" s="179"/>
    </row>
    <row r="7" spans="1:88" ht="23.25" x14ac:dyDescent="0.35">
      <c r="A7" s="151" t="s">
        <v>4</v>
      </c>
      <c r="B7" s="153">
        <v>27.5</v>
      </c>
      <c r="C7" s="153"/>
      <c r="D7" s="153"/>
      <c r="E7" s="153"/>
      <c r="F7" s="153"/>
      <c r="G7" s="154" t="str">
        <f>IF(OR(B7="",B7&lt;0,B8="",B8&lt;0,B8&lt;&gt;ROUND(B8,0)),"","คะแนนเฉลี่ย")</f>
        <v>คะแนนเฉลี่ย</v>
      </c>
      <c r="H7" s="155"/>
      <c r="I7" s="158">
        <f>IF(B3&lt;B8,"Error",IF(OR(B7="",B7&lt;0,B8="",B8&lt;0,B8&lt;&gt;ROUND(B8,0)),"",ROUND(B7/B8,2)))</f>
        <v>3.44</v>
      </c>
      <c r="J7" s="159"/>
      <c r="K7" s="192">
        <f>IF(OR(B7&lt;0,B8&lt;0,B8&lt;&gt;ROUND(B8,0),L7&lt;&gt;"",L8&lt;&gt;""),"Error",IF(OR(B7="",B8=""),"",I7))</f>
        <v>3.44</v>
      </c>
      <c r="L7" s="3" t="str">
        <f>IF(OR(AND(A2="",B3=""),AND(B7="",B8="")),"",IF(B7&lt;0,"ผลรวมของค่าคะแนน ต้องไม่ติดลบ",IF(B8=0,"หลักสูตรทั้งหมด ต้องไม่เป็นศูนย์",IF(B8&lt;0,"หลักสูตรทั้งหมด ต้องไม่ติดลบ",IF(B8&lt;&gt;ROUND(B8,0),"หลักสูตรทั้งหมด ต้องไม่เป็นทศนิยม",IF(B3&lt;B8,"หลักสูตรที่คณะรับผิดชอบรวมทุกระดับ ต้องไม่น้อยกว่าหลักสูตรทั้งหมดในตัวบ่งชี้ที่ 1.1",IF(I7="","",IF(I7&gt;5,"คะแนนเฉลี่ย ต้องมีค่าไม่เกิน 5.00",""))))))))</f>
        <v/>
      </c>
    </row>
    <row r="8" spans="1:88" ht="23.25" x14ac:dyDescent="0.35">
      <c r="A8" s="152"/>
      <c r="B8" s="194">
        <v>8</v>
      </c>
      <c r="C8" s="194"/>
      <c r="D8" s="194"/>
      <c r="E8" s="194"/>
      <c r="F8" s="194"/>
      <c r="G8" s="156"/>
      <c r="H8" s="157"/>
      <c r="I8" s="160"/>
      <c r="J8" s="161"/>
      <c r="K8" s="193"/>
      <c r="L8" s="3" t="str">
        <f>IF(OR(AND(A2="",B7&lt;&gt;""),AND(A2="",B8&lt;&gt;"")),"ต้องใส่ชื่อคณะวิชา",IF(OR(AND(B3="",B7&lt;&gt;""),AND(B3="",B8&lt;&gt;"")),"ต้องใส่จำนวนหลักสูตรที่คณะรับผิดชอบทั้งหมดทุกระดับ",""))</f>
        <v/>
      </c>
    </row>
    <row r="9" spans="1:88" ht="28.5" customHeight="1" x14ac:dyDescent="0.35">
      <c r="A9" s="55" t="s">
        <v>5</v>
      </c>
      <c r="B9" s="162">
        <v>11</v>
      </c>
      <c r="C9" s="162"/>
      <c r="D9" s="164">
        <v>42</v>
      </c>
      <c r="E9" s="165"/>
      <c r="F9" s="166"/>
      <c r="G9" s="190" t="str">
        <f>IF(OR(B9="",B9&lt;0,D9="",D9&lt;0),"","ร้อยละ")</f>
        <v>ร้อยละ</v>
      </c>
      <c r="H9" s="191"/>
      <c r="I9" s="146">
        <f>IF(OR(B9="",B9&lt;0,D9="",D9&lt;0),"",IF(OR(AND(D10&lt;&gt;"",D9&lt;&gt;D10),B9*100/D9&gt;100),"Error",B9*100/D9))</f>
        <v>26.19047619047619</v>
      </c>
      <c r="J9" s="163"/>
      <c r="K9" s="4">
        <f>IF(OR(B9="",D9=""),"",IF(OR(B9&lt;0,D9&lt;=0,AND(B9*100/D9&lt;0,B9*100/D9&gt;100),B9&gt;D9),"Error",IF(AND(D10&lt;&gt;"",D9&lt;&gt;D10),"Error",IF(ROUND(B9*100/D9*5/40,2)&gt;5,5,ROUND(B9*100/D9*5/40,2)))))</f>
        <v>3.27</v>
      </c>
      <c r="L9" s="5" t="str">
        <f>IF(AND(B9="",D9=""),"",IF(B9&lt;0,"อาจารย์ประจำคณะที่มีคุณวุฒิปริญญาเอก ต้องไม่ติดลบ",IF(D9=0,"อาจารย์ประจำคณะทั้งหมด ต้องไม่เป็นศูนย์",IF(D9&lt;0,"อาจารย์ประจำคณะทั้งหมด ต้องไม่ติดลบ",IF(AND(D9&lt;&gt;"",B9&gt;D9),"อาจารย์ประจำคณะที่มีคุณวุฒิปริญญาเอก ต้องไม่มากกว่าอาจารย์ประจำคณะทั้งหมด",IF(AND(D10&lt;&gt;"",D9=""),"",IF(AND(D10&lt;&gt;"",D9&lt;&gt;D10),"อาจารย์ประจำคณะทั้งหมด ต้องเท่ากับตัวบ่งชี้ที่ 1.3",IF(D9="","",IF(B9*100/D9&gt;100,"ค่าร้อยละต้องไม่เกิน 100","")))))))))</f>
        <v/>
      </c>
      <c r="M9" s="6"/>
      <c r="N9" s="6"/>
      <c r="O9" s="6"/>
      <c r="P9" s="56"/>
      <c r="Q9" s="56"/>
      <c r="R9" s="56"/>
      <c r="S9" s="56"/>
      <c r="T9" s="56"/>
      <c r="U9" s="57"/>
      <c r="V9" s="58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60"/>
      <c r="BJ9" s="60"/>
      <c r="CA9" s="59"/>
      <c r="CB9" s="59"/>
      <c r="CC9" s="59"/>
      <c r="CD9" s="59"/>
    </row>
    <row r="10" spans="1:88" ht="28.5" customHeight="1" x14ac:dyDescent="0.35">
      <c r="A10" s="61" t="s">
        <v>6</v>
      </c>
      <c r="B10" s="195">
        <v>17</v>
      </c>
      <c r="C10" s="195"/>
      <c r="D10" s="164">
        <v>42</v>
      </c>
      <c r="E10" s="165"/>
      <c r="F10" s="166"/>
      <c r="G10" s="190" t="str">
        <f>IF(OR(B10="",B10&lt;0,D10="",D10&lt;0),"","ร้อยละ")</f>
        <v>ร้อยละ</v>
      </c>
      <c r="H10" s="191"/>
      <c r="I10" s="146">
        <f>IF(OR(B10="",B10&lt;0,D10="",D10&lt;0),"",IF(OR(AND(D9&lt;&gt;"",D9&lt;&gt;D10),B10*100/D10&gt;100),"Error",B10*100/D10))</f>
        <v>40.476190476190474</v>
      </c>
      <c r="J10" s="163"/>
      <c r="K10" s="4">
        <f>IF(OR(B10="",D10=""),"",IF(OR(B10&lt;0,D10&lt;=0,AND(B10*100/D10&lt;0,B10*100/D10&gt;100),B10&gt;D10),"Error",IF(AND(D9&lt;&gt;"",D9&lt;&gt;D10),"Error",IF(ROUND(B10*100/D10*5/60,2)&gt;5,5,ROUND(B10*100/D10*5/60,2)))))</f>
        <v>3.37</v>
      </c>
      <c r="L10" s="5" t="str">
        <f>IF(AND(B10="",D10=""),"",IF(B10&lt;0,"อาจารย์ประจำคณะที่มีตำแหน่งทางวิชาการ ต้องไม่ติดลบ",IF(D10=0,"อาจารย์ประจำคณะทั้งหมด ต้องไม่เป็นศูนย์",IF(D10&lt;0,"อาจารย์ประจำคณะทั้งหมด ต้องไม่ติดลบ",IF(AND(D10&lt;&gt;"",B10&gt;D10),"อาจารย์ประจำคณะที่มีตำแหน่งทางวิชาการ ต้องไม่มากกว่าอาจารย์ประจำคณะทั้งหมด",IF(AND(D9&lt;&gt;"",D10=""),"",IF(AND(D9&lt;&gt;"",D10&lt;&gt;D9),"อาจารย์ประจำคณะทั้งหมด ต้องเท่ากับตัวบ่งชี้ที่ 1.2",IF(D10="","",IF(B10*100/D10&gt;100,"ค่าร้อยละต้องไม่เกิน 100","")))))))))</f>
        <v/>
      </c>
      <c r="M10" s="6"/>
      <c r="N10" s="6"/>
      <c r="O10" s="6"/>
      <c r="P10" s="56"/>
      <c r="Q10" s="56"/>
      <c r="R10" s="56"/>
      <c r="S10" s="56"/>
      <c r="T10" s="56"/>
      <c r="U10" s="57"/>
      <c r="V10" s="58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60"/>
      <c r="BJ10" s="60"/>
      <c r="CA10" s="59"/>
      <c r="CB10" s="59"/>
      <c r="CC10" s="59"/>
      <c r="CD10" s="59"/>
    </row>
    <row r="11" spans="1:88" ht="28.5" x14ac:dyDescent="0.35">
      <c r="A11" s="62" t="s">
        <v>33</v>
      </c>
      <c r="B11" s="7">
        <v>2</v>
      </c>
      <c r="C11" s="7">
        <v>4</v>
      </c>
      <c r="D11" s="7">
        <v>5</v>
      </c>
      <c r="E11" s="7">
        <v>6</v>
      </c>
      <c r="F11" s="7"/>
      <c r="G11" s="7"/>
      <c r="H11" s="76"/>
      <c r="I11" s="102"/>
      <c r="J11" s="103"/>
      <c r="K11" s="11">
        <f>IF(OR(CG11="Error",CI11&lt;&gt;""),"Error",IF(AND(B11=0,CH11=1),0,IF(CH11="","",LOOKUP(CH11,{0,1,2,3,5,6},{0,1,2,3,4,5}))))</f>
        <v>3</v>
      </c>
      <c r="L11" s="5" t="str">
        <f>IF(CI11&lt;&gt;"",CI11,IF(CG11="Error","ใส่เลขผิด",""))</f>
        <v/>
      </c>
      <c r="M11" s="6"/>
      <c r="N11" s="6"/>
      <c r="O11" s="12"/>
      <c r="P11" s="63"/>
      <c r="Q11" s="56"/>
      <c r="R11" s="56"/>
      <c r="S11" s="56"/>
      <c r="T11" s="56"/>
      <c r="U11" s="57"/>
      <c r="V11" s="58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60"/>
      <c r="BJ11" s="60"/>
      <c r="CA11" s="64" t="str">
        <f>IF(AND(B11="",C11="",D11="",E11="",F11="",G11=""),"",IF(AND(B11="",C11&lt;&gt;""),"space",IF(AND(C11&lt;&gt;"",B11&gt;C11),"ascending",IF(OR(B11="",B11=0,B11=1,B11=2,B11=3,B11=4,B11=5,B11=6),"","Error"))))</f>
        <v/>
      </c>
      <c r="CB11" s="64" t="str">
        <f>IF(AND(C11&lt;&gt;"",B11=C11),"ใส่เลขข้อซ้ำ",IF(AND(C11="",D11&lt;&gt;""),"space",IF(AND(D11&lt;&gt;"",C11&gt;D11),"ascending",IF(OR(C11="",C11=2,C11=3,C11=4,C11=5,C11=6),"","Error"))))</f>
        <v/>
      </c>
      <c r="CC11" s="64" t="str">
        <f>IF(AND(D11&lt;&gt;"",OR(B11=D11,C11=D11)),"ใส่เลขข้อซ้ำ",IF(AND(D11="",E11&lt;&gt;""),"space",IF(AND(E11&lt;&gt;"",D11&gt;E11),"ascending",IF(OR(D11="",D11=3,D11=4,D11=5,D11=6),"","Error"))))</f>
        <v/>
      </c>
      <c r="CD11" s="64" t="str">
        <f>IF(AND(E11&lt;&gt;"",OR(B11=E11,C11=E11,D11=E11)),"ใส่เลขข้อซ้ำ",IF(AND(E11="",F11&lt;&gt;""),"space",IF(AND(F11&lt;&gt;"",E11&gt;F11),"ascending",IF(OR(E11="",E11=4,E11=5,E11=6),"","Error"))))</f>
        <v/>
      </c>
      <c r="CE11" s="64" t="str">
        <f>IF(AND(F11&lt;&gt;"",OR(B11=F11,C11=F11,D11=F11,E11=F11)),"ใส่เลขข้อซ้ำ",IF(AND(F11="",G11&lt;&gt;""),"space",IF(AND(G11&lt;&gt;"",F11&gt;G11),"ascending",IF(OR(F11="",F11=5,F11=6),"","Error"))))</f>
        <v/>
      </c>
      <c r="CF11" s="65" t="str">
        <f>IF(AND(G11&lt;&gt;"",OR(B11=G11,C11=G11,D11=G11,E11=G11,F11=G11)),"ใส่เลขข้อซ้ำ",IF(OR(G11="",G11=6),"","Error"))</f>
        <v/>
      </c>
      <c r="CG11" s="66" t="str">
        <f>IF(COUNTIF(CA11:CF11,"Error")&gt;0,"Error","")</f>
        <v/>
      </c>
      <c r="CH11" s="67">
        <f>IF(COUNT(B11:G11)=0,"",COUNT(B11:G11))</f>
        <v>4</v>
      </c>
      <c r="CI11" s="68" t="str">
        <f>IF(COUNTIF(CA11:CE11,"space")&gt;0,"ให้ใส่เลขข้อโดยไม่ข้ามช่องว่าง",IF(COUNTIF(CA11:CE11,"ascending")&gt;0,"ให้เรียงเลขข้อจากน้อยไปมาก",IF(COUNTIF(CB11:CF11,"ใส่เลขข้อซ้ำ")&gt;0,"ใส่เลขข้อซ้ำ","")))</f>
        <v/>
      </c>
    </row>
    <row r="12" spans="1:88" ht="28.5" x14ac:dyDescent="0.35">
      <c r="A12" s="62" t="s">
        <v>34</v>
      </c>
      <c r="B12" s="13">
        <v>1</v>
      </c>
      <c r="C12" s="13">
        <v>3</v>
      </c>
      <c r="D12" s="13">
        <v>4</v>
      </c>
      <c r="E12" s="13">
        <v>5</v>
      </c>
      <c r="F12" s="13">
        <v>6</v>
      </c>
      <c r="G12" s="13"/>
      <c r="H12" s="8"/>
      <c r="I12" s="9"/>
      <c r="J12" s="10"/>
      <c r="K12" s="11">
        <f>IF(OR(CG12="Error",CI12&lt;&gt;""),"Error",IF(AND(B12=0,CH12=1),0,IF(CH12="","",LOOKUP(CH12,{0,1,2,3,5,6},{0,1,2,3,4,5}))))</f>
        <v>4</v>
      </c>
      <c r="L12" s="5" t="str">
        <f>IF(CI12&lt;&gt;"",CI12,IF(CG12="Error","ใส่เลขผิด",""))</f>
        <v/>
      </c>
      <c r="M12" s="6"/>
      <c r="N12" s="6"/>
      <c r="O12" s="12"/>
      <c r="P12" s="63"/>
      <c r="Q12" s="56"/>
      <c r="R12" s="56"/>
      <c r="S12" s="56"/>
      <c r="T12" s="56"/>
      <c r="U12" s="57"/>
      <c r="V12" s="58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60"/>
      <c r="BJ12" s="60"/>
      <c r="CA12" s="64" t="str">
        <f>IF(AND(B12="",C12="",D12="",E12="",F12="",G12=""),"",IF(AND(B12="",C12&lt;&gt;""),"space",IF(AND(C12&lt;&gt;"",B12&gt;C12),"ascending",IF(OR(B12="",B12=0,B12=1,B12=2,B12=3,B12=4,B12=5,B12=6),"","Error"))))</f>
        <v/>
      </c>
      <c r="CB12" s="64" t="str">
        <f>IF(AND(C12&lt;&gt;"",B12=C12),"ใส่เลขข้อซ้ำ",IF(AND(C12="",D12&lt;&gt;""),"space",IF(AND(D12&lt;&gt;"",C12&gt;D12),"ascending",IF(OR(C12="",C12=2,C12=3,C12=4,C12=5,C12=6),"","Error"))))</f>
        <v/>
      </c>
      <c r="CC12" s="64" t="str">
        <f>IF(AND(D12&lt;&gt;"",OR(B12=D12,C12=D12)),"ใส่เลขข้อซ้ำ",IF(AND(D12="",E12&lt;&gt;""),"space",IF(AND(E12&lt;&gt;"",D12&gt;E12),"ascending",IF(OR(D12="",D12=3,D12=4,D12=5,D12=6),"","Error"))))</f>
        <v/>
      </c>
      <c r="CD12" s="64" t="str">
        <f>IF(AND(E12&lt;&gt;"",OR(B12=E12,C12=E12,D12=E12)),"ใส่เลขข้อซ้ำ",IF(AND(E12="",F12&lt;&gt;""),"space",IF(AND(F12&lt;&gt;"",E12&gt;F12),"ascending",IF(OR(E12="",E12=4,E12=5,E12=6),"","Error"))))</f>
        <v/>
      </c>
      <c r="CE12" s="64" t="str">
        <f>IF(AND(F12&lt;&gt;"",OR(B12=F12,C12=F12,D12=F12,E12=F12)),"ใส่เลขข้อซ้ำ",IF(AND(F12="",G12&lt;&gt;""),"space",IF(AND(G12&lt;&gt;"",F12&gt;G12),"ascending",IF(OR(F12="",F12=5,F12=6),"","Error"))))</f>
        <v/>
      </c>
      <c r="CF12" s="65" t="str">
        <f>IF(AND(G12&lt;&gt;"",OR(B12=G12,C12=G12,D12=G12,E12=G12,F12=G12)),"ใส่เลขข้อซ้ำ",IF(OR(G12="",G12=6),"","Error"))</f>
        <v/>
      </c>
      <c r="CG12" s="66" t="str">
        <f>IF(COUNTIF(CA12:CF12,"Error")&gt;0,"Error","")</f>
        <v/>
      </c>
      <c r="CH12" s="67">
        <f>IF(COUNT(B12:G12)=0,"",COUNT(B12:G12))</f>
        <v>5</v>
      </c>
      <c r="CI12" s="68" t="str">
        <f>IF(COUNTIF(CA12:CE12,"space")&gt;0,"ให้ใส่เลขข้อโดยไม่ข้ามช่องว่าง",IF(COUNTIF(CA12:CE12,"ascending")&gt;0,"ให้เรียงเลขข้อจากน้อยไปมาก",IF(COUNTIF(CB12:CF12,"ใส่เลขข้อซ้ำ")&gt;0,"ใส่เลขข้อซ้ำ","")))</f>
        <v/>
      </c>
    </row>
    <row r="13" spans="1:88" s="87" customFormat="1" ht="28.5" x14ac:dyDescent="0.35">
      <c r="A13" s="61" t="s">
        <v>35</v>
      </c>
      <c r="B13" s="92">
        <v>3</v>
      </c>
      <c r="C13" s="92">
        <v>4</v>
      </c>
      <c r="D13" s="92">
        <v>5</v>
      </c>
      <c r="E13" s="92"/>
      <c r="F13" s="92"/>
      <c r="G13" s="77"/>
      <c r="H13" s="78"/>
      <c r="I13" s="78"/>
      <c r="J13" s="79"/>
      <c r="K13" s="11">
        <f>IF(OR(CF13="Error",CH13&lt;&gt;""),"Error",IF(AND(B13=0,CG13=1),0,IF(CG13="","",LOOKUP(CG13,{0,1,2,3,4,5},{0,1,2,3,4,5}))))</f>
        <v>3</v>
      </c>
      <c r="L13" s="80" t="str">
        <f>IF(CH13&lt;&gt;"",CH13,IF(CF13="Error","ใส่เลขผิด",""))</f>
        <v/>
      </c>
      <c r="M13" s="6"/>
      <c r="N13" s="6"/>
      <c r="O13" s="12"/>
      <c r="P13" s="81"/>
      <c r="Q13" s="82"/>
      <c r="R13" s="82"/>
      <c r="S13" s="82"/>
      <c r="T13" s="82"/>
      <c r="U13" s="83"/>
      <c r="V13" s="84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6"/>
      <c r="BJ13" s="86"/>
      <c r="CA13" s="88" t="str">
        <f>IF(AND(B13="",C13="",D13="",E13="",F13=""),"",IF(AND(B13="",C13&lt;&gt;""),"space",IF(AND(C13&lt;&gt;"",B13&gt;C13),"ascending",IF(OR(B13="",B13=0,B13=1,B13=2,B13=3,B13=4,B13=5),"","Error"))))</f>
        <v/>
      </c>
      <c r="CB13" s="88" t="str">
        <f>IF(AND(C13&lt;&gt;"",B13=C13),"ใส่เลขข้อซ้ำ",IF(AND(C13="",D13&lt;&gt;""),"space",IF(AND(D13&lt;&gt;"",C13&gt;D13),"ascending",IF(OR(C13="",C13=2,C13=3,C13=4,C13=5),"","Error"))))</f>
        <v/>
      </c>
      <c r="CC13" s="88" t="str">
        <f>IF(AND(D13&lt;&gt;"",OR(B13=D13,C13=D13)),"ใส่เลขข้อซ้ำ",IF(AND(D13="",E13&lt;&gt;""),"space",IF(AND(E13&lt;&gt;"",D13&gt;E13),"ascending",IF(OR(D13="",D13=3,D13=4,D13=5),"","Error"))))</f>
        <v/>
      </c>
      <c r="CD13" s="88" t="str">
        <f>IF(AND(E13&lt;&gt;"",OR(B13=E13,C13=E13,D13=E13)),"ใส่เลขข้อซ้ำ",IF(AND(E13="",F13&lt;&gt;""),"space",IF(AND(F13&lt;&gt;"",E13&gt;F13),"ascending",IF(OR(E13="",E13=4,E13=5),"","Error"))))</f>
        <v/>
      </c>
      <c r="CE13" s="88" t="str">
        <f>IF(AND(F13&lt;&gt;"",OR(B13=F13,C13=F13,D13=F13,E13=F13)),"ใส่เลขข้อซ้ำ",IF(OR(F13="",F13=5),"","Error"))</f>
        <v/>
      </c>
      <c r="CF13" s="89" t="str">
        <f>IF(COUNTIF(CA13:CE13,"Error")&gt;0,"Error","")</f>
        <v/>
      </c>
      <c r="CG13" s="90">
        <f>IF(COUNT(B13:F13)=0,"",COUNT(B13:F13))</f>
        <v>3</v>
      </c>
      <c r="CH13" s="91" t="str">
        <f>IF(COUNTIF(CA13:CE13,"space")&gt;0,"ให้ใส่เลขข้อโดยไม่ข้ามช่องว่าง",IF(COUNTIF(CA13:CE13,"ascending")&gt;0,"ให้เรียงเลขข้อจากน้อยไปมาก",IF(COUNTIF(CB13:CE13,"ใส่เลขข้อซ้ำ")&gt;0,"ใส่เลขข้อซ้ำ","")))</f>
        <v/>
      </c>
    </row>
    <row r="14" spans="1:88" s="87" customFormat="1" ht="28.5" x14ac:dyDescent="0.35">
      <c r="A14" s="61" t="s">
        <v>36</v>
      </c>
      <c r="B14" s="93">
        <v>1</v>
      </c>
      <c r="C14" s="93">
        <v>2</v>
      </c>
      <c r="D14" s="93">
        <v>3</v>
      </c>
      <c r="E14" s="93">
        <v>5</v>
      </c>
      <c r="F14" s="93"/>
      <c r="G14" s="77"/>
      <c r="H14" s="78"/>
      <c r="I14" s="78"/>
      <c r="J14" s="79"/>
      <c r="K14" s="11">
        <f>IF(OR(CF14="Error",CH14&lt;&gt;""),"Error",IF(AND(B14=0,CG14=1),0,IF(CG14="","",LOOKUP(CG14,{0,1,2,3,4,5},{0,1,2,3,4,5}))))</f>
        <v>4</v>
      </c>
      <c r="L14" s="80" t="str">
        <f>IF(CH14&lt;&gt;"",CH14,IF(CF14="Error","ใส่เลขผิด",""))</f>
        <v/>
      </c>
      <c r="M14" s="6"/>
      <c r="N14" s="6"/>
      <c r="O14" s="12"/>
      <c r="P14" s="81"/>
      <c r="Q14" s="82"/>
      <c r="R14" s="82"/>
      <c r="S14" s="82"/>
      <c r="T14" s="82"/>
      <c r="U14" s="83"/>
      <c r="V14" s="84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6"/>
      <c r="BJ14" s="86"/>
      <c r="CA14" s="88" t="str">
        <f>IF(AND(B14="",C14="",D14="",E14="",F14=""),"",IF(AND(B14="",C14&lt;&gt;""),"space",IF(AND(C14&lt;&gt;"",B14&gt;C14),"ascending",IF(OR(B14="",B14=0,B14=1,B14=2,B14=3,B14=4,B14=5),"","Error"))))</f>
        <v/>
      </c>
      <c r="CB14" s="88" t="str">
        <f>IF(AND(C14&lt;&gt;"",B14=C14),"ใส่เลขข้อซ้ำ",IF(AND(C14="",D14&lt;&gt;""),"space",IF(AND(D14&lt;&gt;"",C14&gt;D14),"ascending",IF(OR(C14="",C14=2,C14=3,C14=4,C14=5),"","Error"))))</f>
        <v/>
      </c>
      <c r="CC14" s="88" t="str">
        <f>IF(AND(D14&lt;&gt;"",OR(B14=D14,C14=D14)),"ใส่เลขข้อซ้ำ",IF(AND(D14="",E14&lt;&gt;""),"space",IF(AND(E14&lt;&gt;"",D14&gt;E14),"ascending",IF(OR(D14="",D14=3,D14=4,D14=5),"","Error"))))</f>
        <v/>
      </c>
      <c r="CD14" s="88" t="str">
        <f>IF(AND(E14&lt;&gt;"",OR(B14=E14,C14=E14,D14=E14)),"ใส่เลขข้อซ้ำ",IF(AND(E14="",F14&lt;&gt;""),"space",IF(AND(F14&lt;&gt;"",E14&gt;F14),"ascending",IF(OR(E14="",E14=4,E14=5),"","Error"))))</f>
        <v/>
      </c>
      <c r="CE14" s="88" t="str">
        <f>IF(AND(F14&lt;&gt;"",OR(B14=F14,C14=F14,D14=F14,E14=F14)),"ใส่เลขข้อซ้ำ",IF(OR(F14="",F14=5),"","Error"))</f>
        <v/>
      </c>
      <c r="CF14" s="89" t="str">
        <f>IF(COUNTIF(CA14:CE14,"Error")&gt;0,"Error","")</f>
        <v/>
      </c>
      <c r="CG14" s="90">
        <f>IF(COUNT(B14:F14)=0,"",COUNT(B14:F14))</f>
        <v>4</v>
      </c>
      <c r="CH14" s="91" t="str">
        <f>IF(COUNTIF(CA14:CE14,"space")&gt;0,"ให้ใส่เลขข้อโดยไม่ข้ามช่องว่าง",IF(COUNTIF(CA14:CE14,"ascending")&gt;0,"ให้เรียงเลขข้อจากน้อยไปมาก",IF(COUNTIF(CB14:CE14,"ใส่เลขข้อซ้ำ")&gt;0,"ใส่เลขข้อซ้ำ","")))</f>
        <v/>
      </c>
    </row>
    <row r="15" spans="1:88" s="87" customFormat="1" ht="23.25" customHeight="1" x14ac:dyDescent="0.35">
      <c r="A15" s="95" t="s">
        <v>37</v>
      </c>
      <c r="B15" s="117">
        <v>7</v>
      </c>
      <c r="C15" s="118"/>
      <c r="D15" s="143">
        <v>8</v>
      </c>
      <c r="E15" s="144"/>
      <c r="F15" s="145"/>
      <c r="G15" s="139" t="str">
        <f>IF(OR(B15="",D15=""),"",IF(OR(B15&lt;0,D15&lt;=0,B15*100/D15&gt;100,L15&lt;&gt;""),"Error","ร้อยละ"))</f>
        <v>ร้อยละ</v>
      </c>
      <c r="H15" s="140"/>
      <c r="I15" s="146">
        <f>IF(OR(B15="",D15=""),"",IF(OR(B15&lt;0,D15&lt;=0,B15*100/D15&gt;100,L15&lt;&gt;""),"Error",ROUND(B15*100/D15,2)))</f>
        <v>87.5</v>
      </c>
      <c r="J15" s="147"/>
      <c r="K15" s="105">
        <f>IF(OR(B15="",D15=""),"",IF(OR(B15&lt;0,D15&lt;=0,I15&lt;0,I15&gt;100,B15&gt;D15,L15&lt;&gt;""),"Error",ROUND(I15*5/100,2)))</f>
        <v>4.38</v>
      </c>
      <c r="L15" s="94" t="str">
        <f>IF(OR(B15="",D15=""),"",IF(B15&lt;0,"หลักสูตรที่นักศึกษามีส่วนร่วมในการสร้างนวัตกรรมต้องไม่ติดลบ",IF(B15&lt;&gt;ROUND(B15,0),"หลักสูตรที่นักศึกษามีส่วนร่วมในการสร้างนวัตกรรมต้องไม่เป็นทศนิยม",IF(D15=0,"หลักสูตรทั้งหมดในคณะต้องไม่เป็นศูนย์",IF(D15&lt;0,"หลักสูตรทั้งหมดในคณะต้องไม่ติดลบ",IF(D15&lt;&gt;ROUND(D15,0),"หลักสูตรทั้งหมดในคณะต้องไม่เป็นทศนิยม",IF(B15&gt;D15,"หลักสูตรที่นักศึกษามีส่วนร่วมในการสร้างนวัตกรรมต้องไม่มากกว่าหลักสูตรทั้งหมดในคณะ",IF(D15&lt;&gt;B8,"หลักสูตรทั้งหมดในคณะไม่เท่ากับในตัวบ่งชี้ที่ 1.1",""))))))))</f>
        <v/>
      </c>
    </row>
    <row r="16" spans="1:88" ht="28.5" customHeight="1" x14ac:dyDescent="0.35">
      <c r="A16" s="62" t="s">
        <v>38</v>
      </c>
      <c r="B16" s="74">
        <v>2</v>
      </c>
      <c r="C16" s="74">
        <v>3</v>
      </c>
      <c r="D16" s="74">
        <v>4</v>
      </c>
      <c r="E16" s="74">
        <v>5</v>
      </c>
      <c r="F16" s="74">
        <v>7</v>
      </c>
      <c r="G16" s="74"/>
      <c r="H16" s="74"/>
      <c r="I16" s="8"/>
      <c r="J16" s="10"/>
      <c r="K16" s="11">
        <f>IF(OR(CH16="Error",CJ16&lt;&gt;""),"Error",IF(AND(B16=0,CI16=1),0,IF(CI16="","",LOOKUP(CI16,{0,1,2,3,5,7},{0,1,2,3,4,5}))))</f>
        <v>4</v>
      </c>
      <c r="L16" s="5" t="str">
        <f>IF(CJ16&lt;&gt;"",CJ16,IF(CH16="Error","ใส่เลขผิด",""))</f>
        <v/>
      </c>
      <c r="M16" s="6"/>
      <c r="N16" s="6"/>
      <c r="O16" s="12"/>
      <c r="P16" s="63"/>
      <c r="Q16" s="56"/>
      <c r="R16" s="56"/>
      <c r="S16" s="56"/>
      <c r="T16" s="56"/>
      <c r="U16" s="57"/>
      <c r="V16" s="58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60"/>
      <c r="BJ16" s="60"/>
      <c r="CA16" s="64" t="str">
        <f>IF(AND(B16="",C16="",D16="",E16="",F16="",G16="",H16=""),"",IF(AND(B16="",C16&lt;&gt;""),"space",IF(AND(C16&lt;&gt;"",B16&gt;C16),"ascending",IF(OR(B16="",B16=0,B16=1,B16=2,B16=3,B16=4,B16=5,B16=6,B16=7),"","Error"))))</f>
        <v/>
      </c>
      <c r="CB16" s="64" t="str">
        <f>IF(AND(C16&lt;&gt;"",B16=C16),"ใส่เลขข้อซ้ำ",IF(AND(C16="",D16&lt;&gt;""),"space",IF(AND(D16&lt;&gt;"",C16&gt;D16),"ascending",IF(OR(C16="",C16=2,C16=3,C16=4,C16=5,C16=6,C16=7),"","Error"))))</f>
        <v/>
      </c>
      <c r="CC16" s="64" t="str">
        <f>IF(AND(D16&lt;&gt;"",OR(B16=D16,C16=D16)),"ใส่เลขข้อซ้ำ",IF(AND(D16="",E16&lt;&gt;""),"space",IF(AND(E16&lt;&gt;"",D16&gt;E16),"ascending",IF(OR(D16="",D16=3,D16=4,D16=5,D16=6,D16=7),"","Error"))))</f>
        <v/>
      </c>
      <c r="CD16" s="64" t="str">
        <f>IF(AND(E16&lt;&gt;"",OR(B16=E16,C16=E16,D16=E16)),"ใส่เลขข้อซ้ำ",IF(AND(E16="",F16&lt;&gt;""),"space",IF(AND(F16&lt;&gt;"",E16&gt;F16),"ascending",IF(OR(E16="",E16=4,E16=5,E16=6,E16=7),"","Error"))))</f>
        <v/>
      </c>
      <c r="CE16" s="64" t="str">
        <f>IF(AND(F16&lt;&gt;"",OR(B16=F16,C16=F16,D16=F16,E16=F16)),"ใส่เลขข้อซ้ำ",IF(AND(F16="",G16&lt;&gt;""),"space",IF(AND(G16&lt;&gt;"",F16&gt;G16),"ascending",IF(OR(F16="",F16=5,F16=6,F16=7),"","Error"))))</f>
        <v/>
      </c>
      <c r="CF16" s="65" t="str">
        <f>IF(AND(G16&lt;&gt;"",OR(B16=G16,C16=G16,D16=G16,E16=G16,F16=G16)),"ใส่เลขข้อซ้ำ",IF(AND(G16="",H16&lt;&gt;""),"space",IF(AND(H16&lt;&gt;"",G16&gt;H16),"ascending",IF(OR(G16="",G16=6,G16=7),"","Error"))))</f>
        <v/>
      </c>
      <c r="CG16" s="65" t="str">
        <f>IF(AND(H16&lt;&gt;"",OR(B16=H16,C16=H16,D16=H16,E16=H16,F16=H16,G16=H16)),"ใส่เลขข้อซ้ำ",IF(OR(H16="",H16=7),"","Error"))</f>
        <v/>
      </c>
      <c r="CH16" s="66" t="str">
        <f>IF(COUNTIF(CA16:CG16,"Error")&gt;0,"Error","")</f>
        <v/>
      </c>
      <c r="CI16" s="67">
        <f>IF(COUNT(B16:H16)=0,"",COUNT(B16:H16))</f>
        <v>5</v>
      </c>
      <c r="CJ16" s="68" t="str">
        <f>IF(COUNTIF(CA16:CF16,"space")&gt;0,"ให้ใส่เลขข้อโดยไม่ข้ามช่องว่าง",IF(COUNTIF(CA16:CF16,"ascending")&gt;0,"ให้เรียงเลขข้อจากน้อยไปมาก",IF(COUNTIF(CB16:CG16,"ใส่เลขข้อซ้ำ")&gt;0,"ใส่เลขข้อซ้ำ","")))</f>
        <v/>
      </c>
    </row>
    <row r="17" spans="1:88" ht="28.5" customHeight="1" x14ac:dyDescent="0.35">
      <c r="A17" s="148" t="s">
        <v>7</v>
      </c>
      <c r="B17" s="109" t="s">
        <v>8</v>
      </c>
      <c r="C17" s="109"/>
      <c r="D17" s="109"/>
      <c r="E17" s="109"/>
      <c r="F17" s="112">
        <v>33</v>
      </c>
      <c r="G17" s="113"/>
      <c r="H17" s="122">
        <v>1542000</v>
      </c>
      <c r="I17" s="123"/>
      <c r="J17" s="124"/>
      <c r="K17" s="125">
        <f>IF(OR(M17&lt;&gt;"",M18&lt;&gt;"",M19&lt;&gt;""),"Error",IF(OR(AND(F17&lt;&gt;"",H17=""),AND(F18&lt;&gt;"",H18=""),AND(F19&lt;&gt;"",H19=""),AND(F17="",F18="",F19=""),COUNT(L17:L19)=""),"",IF(COUNT(L17:L19)&lt;&gt;"",ROUND(SUM(L17:L19)/COUNT(L17:L19),2),"")))</f>
        <v>2.38</v>
      </c>
      <c r="L17" s="98">
        <f>IF(OR(F17="",H17=""),"",IF(ROUND(H17/F17*5/60000,2)&gt;5,5,ROUND(H17/F17*5/60000,2)))</f>
        <v>3.89</v>
      </c>
      <c r="M17" s="15" t="str">
        <f>IF(AND(F17="",H17="",H20=""),"",IF(F17&lt;0,"อาจารย์ประจำคณะและนักวิจัยทั้งหมด ต้องไม่ติดลบ",IF(H17&lt;0,"เงินสนับสนุนงานวิจัยหรืองานสร้างสรรค์ ต้องไม่ติดลบ",IF(AND(H20&lt;&gt;"",F17=""),"มีอาจารย์ประจำคณะและนักวิจัยในกลุ่มสาขาวิทย์และเทคโนโลยีในตัวบ่งชี่ที่ 2.3",IF(AND(H20&lt;&gt;0,F17&gt;H20),"อาจารย์ประจำคณะและนักวิจัยที่ปฏิบัติงานจริงในกลุ่มสาขาวิทย์และเทคโนโลยี ต้องไม่มากกว่าในตัวบ่งชี้ที่ 2.3",IF(AND(AND(AND(F17&lt;&gt;"",H20&lt;&gt;""),AND(F18&lt;&gt;"",H21&lt;&gt;""),AND(F19&lt;&gt;"",H22&lt;&gt;"")),SUM(H20:I22)&gt;0,SUM(F17:F19)&gt;SUM(H20:I22)),"อาจารย์ประจำและนักวิจัยทั้งหมด ต้องไม่มากกว่าอาจารย์ประจำในตัวบ่งชี้ที่ 2.3",IF(AND(SUM(H20:I22)&lt;&gt;"",SUM(H20:I22)&lt;SUM(F17:G19)),"อาจารย์ประจำและนักวิจัยปฏิบัติงานจริงต้องไม่มากกว่าอาจารย์ประจำและนักวิจัยทั้งหมดในตัวบ่งชี้ที่ 2.3","")))))))</f>
        <v/>
      </c>
    </row>
    <row r="18" spans="1:88" ht="28.5" customHeight="1" x14ac:dyDescent="0.35">
      <c r="A18" s="149"/>
      <c r="B18" s="128" t="s">
        <v>9</v>
      </c>
      <c r="C18" s="129"/>
      <c r="D18" s="129"/>
      <c r="E18" s="129"/>
      <c r="F18" s="112"/>
      <c r="G18" s="113"/>
      <c r="H18" s="122"/>
      <c r="I18" s="123"/>
      <c r="J18" s="124"/>
      <c r="K18" s="126"/>
      <c r="L18" s="98" t="str">
        <f>IF(OR(F18="",H18=""),"",IF(ROUND(H18/F18*5/50000,2)&gt;5,5,ROUND(H18/F18*5/50000,2)))</f>
        <v/>
      </c>
      <c r="M18" s="15" t="str">
        <f>IF(AND(F18="",H18="",H21=""),"",IF(F18&lt;0,"อาจารย์ประจำคณะและนักวิจัยทั้งหมด ต้องไม่ติดลบ",IF(H18&lt;0,"เงินสนับสนุนงานวิจัยหรืองานสร้างสรรค์ ต้องไม่ติดลบ",IF(AND(H21&lt;&gt;"",F18=""),"มีอาจารย์ประจำคณะและนักวิจัยในกลุ่มสาขาวิทย์สุขภาพในตัวบ่งชี่ที่ 2.3",IF(AND(H21&lt;&gt;0,F18&gt;H21),"อาจารย์ประจำคณะและนักวิจัยที่ปฏิบัติงานจริงในกลุ่มสาขาวิทย์สุขภาพ ต้องไม่มากกว่าในตัวบ่งชี้ที่ 2.3",IF(AND(AND(AND(F17&lt;&gt;"",H20&lt;&gt;""),AND(F18&lt;&gt;"",H21&lt;&gt;""),AND(F19&lt;&gt;"",H22&lt;&gt;"")),SUM(H20:I22)&gt;0,SUM(F17:F19)&gt;SUM(H20:I22)),"อาจารย์ประจำและนักวิจัยทั้งหมด ต้องไม่มากกว่าอาจารย์ประจำในตัวบ่งชี้ที่ 2.3",IF(AND(SUM(H20:I22)&lt;&gt;"",SUM(H20:I22)&lt;SUM(F17:G19)),"อาจารย์ประจำและนักวิจัยปฏิบัติงานจริงต้องไม่มากกว่าอาจารย์ประจำและนักวิจัยทั้งหมดในตัวบ่งชี้ที่ 2.3","")))))))</f>
        <v/>
      </c>
    </row>
    <row r="19" spans="1:88" ht="28.5" customHeight="1" x14ac:dyDescent="0.35">
      <c r="A19" s="150"/>
      <c r="B19" s="114" t="s">
        <v>10</v>
      </c>
      <c r="C19" s="115"/>
      <c r="D19" s="115"/>
      <c r="E19" s="115"/>
      <c r="F19" s="112">
        <v>7</v>
      </c>
      <c r="G19" s="113"/>
      <c r="H19" s="122">
        <v>30000</v>
      </c>
      <c r="I19" s="123"/>
      <c r="J19" s="124"/>
      <c r="K19" s="127"/>
      <c r="L19" s="98">
        <f>IF(OR(F19="",H19=""),"",IF(ROUND(H19/F19*5/25000,2)&gt;5,5,ROUND(H19/F19*5/25000,2)))</f>
        <v>0.86</v>
      </c>
      <c r="M19" s="15" t="str">
        <f>IF(AND(F19="",H19="",H22=""),"",IF(F19&lt;0,"อาจารย์ประจำคณะและนักวิจัยทั้งหมด ต้องไม่ติดลบ",IF(H19&lt;0,"เงินสนับสนุนงานวิจัยหรืองานสร้างสรรค์ ต้องไม่ติดลบ",IF(AND(H22&lt;&gt;0,F19=""),"มีอาจารย์ประจำคณะและนักวิจัยในกลุ่มสาขามนุษย์สังคมในตัวบ่งชี่ที่ 2.3",IF(AND(H22&lt;&gt;0,F19&gt;H22),"อาจารย์ประจำคณะและนักวิจัยที่ปฏิบัติงานจริงในกลุ่มสาขามนุษย์สังคม ต้องไม่มากกว่าในตัวบ่งชี้ที่ 2.3",IF(AND(AND(AND(F17&lt;&gt;"",H20&lt;&gt;""),AND(F18&lt;&gt;"",H21&lt;&gt;""),AND(F19&lt;&gt;"",H22&lt;&gt;"")),SUM(H20:I22)&gt;0,SUM(F17:F19)&gt;SUM(H20:I22)),"อาจารย์ประจำและนักวิจัยทั้งหมด ต้องไม่มากกว่าอาจารย์ประจำในตัวบ่งชี้ที่ 2.3",IF(AND(SUM(H20:I22)&lt;&gt;"",SUM(H20:I22)&lt;SUM(F17:G19)),"อาจารย์ประจำและนักวิจัยปฏิบัติงานจริงต้องไม่มากกว่าอาจารย์ประจำและนักวิจัยทั้งหมดในตัวบ่งชี้ที่ 2.3","")))))))</f>
        <v/>
      </c>
    </row>
    <row r="20" spans="1:88" ht="26.25" customHeight="1" x14ac:dyDescent="0.35">
      <c r="A20" s="106" t="s">
        <v>11</v>
      </c>
      <c r="B20" s="109" t="s">
        <v>8</v>
      </c>
      <c r="C20" s="109"/>
      <c r="D20" s="109"/>
      <c r="E20" s="109"/>
      <c r="F20" s="110">
        <v>10</v>
      </c>
      <c r="G20" s="111"/>
      <c r="H20" s="112">
        <v>36</v>
      </c>
      <c r="I20" s="113"/>
      <c r="J20" s="97">
        <f>IF(OR(F20="",F20&lt;0,H20="",H20&lt;0),"",IF(F20*100/H20&gt;100,"Error",F20*100/H20))</f>
        <v>27.777777777777779</v>
      </c>
      <c r="K20" s="125">
        <f>IF(OR(M20&lt;&gt;"",M21&lt;&gt;"",M22&lt;&gt;""),"Error",IF(OR(AND(H20&lt;&gt;"",F20=""),AND(H21&lt;&gt;"",F21=""),AND(H22&lt;&gt;"",F22=""),AND(J20="",J21="",J22="")),"",IF(COUNT(L20:L22)&lt;&gt;"",ROUND(SUM(L20:L22)/COUNT(L20:L22),2),"")))</f>
        <v>4.82</v>
      </c>
      <c r="L20" s="96">
        <f>IF(OR(F20="",H20=""),"",IF(ROUND(F20/H20*100*5/30,2)&gt;5,5,ROUND(F20/H20*100*5/30,2)))</f>
        <v>4.63</v>
      </c>
      <c r="M20" s="16" t="str">
        <f>IF(AND(F17="",F20="",H20=""),"",IF(F20&lt;0,"ผลรวมถ่วงน้ำหนักของผลงานทางวิชาการ ต้องไม่ติดลบ",IF(H20&lt;0,"อาจารย์ประจำคณะและนักวิจัยทั้งหมด ต้องไม่ติดลบ",IF(AND(F17&lt;&gt;"",H20=""),"มีอาจารย์ประจำคณะและนักวิจัยในกลุ่มสาขาวิทย์และเทคโนโลยีในตัวบ่งชี่ที่ 2.2",IF(AND(F17&lt;&gt;"",H20&lt;F17),"อาจารย์ประจำคณะและนักวิจัยที่ปฏิบัติงานจริงในกลุ่มสาขาวิทย์และเทคโนโลยี ต้องไม่น้อยกว่าในตัวบ่งชี้ที่ 2.2",IF(AND(AND(AND(F17&lt;&gt;"",H20&lt;&gt;""),AND(F18&lt;&gt;"",H21&lt;&gt;""),AND(F19&lt;&gt;"",H22&lt;&gt;"")),SUM(F17:F19)&gt;0,SUM(H20:I22)&lt;SUM(F17:F19)),"อาจารย์ประจำและนักวิจัยทั้งหมด ต้องไม่น้อยกว่าอาจารย์ประจำในตัวบ่งชี้ที่ 2.2",IF(AND(SUM(F17:G19)&lt;&gt;"",SUM(H20:I22)&lt;SUM(F17:G19)),"อาจารย์ประจำและนักวิจัยทั้งหมดต้องไม่น้อยกว่าอาจารย์ประจำและนักวิจัยปฏิบัติงานจริงในตัวบ่งชี้ที่ 2.2","")))))))</f>
        <v/>
      </c>
    </row>
    <row r="21" spans="1:88" ht="26.25" customHeight="1" x14ac:dyDescent="0.35">
      <c r="A21" s="107"/>
      <c r="B21" s="128" t="s">
        <v>9</v>
      </c>
      <c r="C21" s="129"/>
      <c r="D21" s="129"/>
      <c r="E21" s="129"/>
      <c r="F21" s="110"/>
      <c r="G21" s="111"/>
      <c r="H21" s="112"/>
      <c r="I21" s="113"/>
      <c r="J21" s="97" t="str">
        <f>IF(OR(F21="",F21&lt;0,H21="",H21&lt;0),"",IF(F21*100/H21&gt;100,"Error",F21*100/H21))</f>
        <v/>
      </c>
      <c r="K21" s="126"/>
      <c r="L21" s="96" t="str">
        <f>IF(OR(F21="",H21=""),"",IF(ROUND(F21/H21*100*5/30,2)&gt;5,5,ROUND(F21/H21*100*5/30,2)))</f>
        <v/>
      </c>
      <c r="M21" s="16" t="str">
        <f>IF(AND(F18="",F21="",H21=""),"",IF(F21&lt;0,"ผลรวมถ่วงน้ำหนักของผลงานทางวิชาการ ต้องไม่ติดลบ",IF(H21&lt;0,"อาจารย์ประจำคณะและนักวิจัยทั้งหมด ต้องไม่ติดลบ",IF(AND(F18&lt;&gt;"",H21=""),"มีอาจารย์ประจำคณะและนักวิจัยในกลุ่มสาขาวิทย์สุขภาพในตัวบ่งชี้ที่ 2.2",IF(AND(F18&lt;&gt;0,H21&lt;F18),"อาจารย์ประจำคณะและนักวิจัยที่ปฏิบัติงานจริงในกลุ่มสาขาวิทย์สุขภาพ ต้องไม่น้อยกว่าในตัวบ่งชี้ที่ 2.2",IF(AND(AND(AND(F17&lt;&gt;"",H20&lt;&gt;""),AND(F18&lt;&gt;"",H21&lt;&gt;""),AND(F19&lt;&gt;"",H22&lt;&gt;"")),SUM(F17:F19)&gt;0,SUM(H20:H22)&lt;SUM(F17:F19)),"อาจารย์ประจำและนักวิจัยทั้งหมด ต้องไม่น้อยกว่าอาจารย์ประจำในตัวบ่งชี้ที่ 2.2",IF(AND(SUM(F17:G19)&lt;&gt;"",SUM(H20:I22)&lt;SUM(F17:G19)),"อาจารย์ประจำและนักวิจัยทั้งหมดต้องไม่น้อยกว่าอาจารย์ประจำและนักวิจัยปฏิบัติงานจริงในตัวบ่งชี้ที่ 2.2","")))))))</f>
        <v/>
      </c>
    </row>
    <row r="22" spans="1:88" ht="26.25" customHeight="1" x14ac:dyDescent="0.35">
      <c r="A22" s="108"/>
      <c r="B22" s="114" t="s">
        <v>10</v>
      </c>
      <c r="C22" s="115"/>
      <c r="D22" s="116"/>
      <c r="E22" s="116"/>
      <c r="F22" s="110">
        <v>3</v>
      </c>
      <c r="G22" s="111"/>
      <c r="H22" s="112">
        <v>7</v>
      </c>
      <c r="I22" s="113"/>
      <c r="J22" s="104">
        <f>IF(OR(F22="",F22&lt;0,H22="",H22&lt;0),"",IF(F22*100/H22&gt;100,"Error",F22*100/H22))</f>
        <v>42.857142857142854</v>
      </c>
      <c r="K22" s="127"/>
      <c r="L22" s="96">
        <f>IF(OR(F22="",H22=""),"",IF(ROUND(F22/H22*100*5/20,2)&gt;5,5,ROUND(F22/H22*100*5/20,2)))</f>
        <v>5</v>
      </c>
      <c r="M22" s="16" t="str">
        <f>IF(AND(F19="",F22="",H22=""),"",IF(F22&lt;0,"ผลรวมถ่วงน้ำหนักของผลงานทางวิชาการ ต้องไม่ติดลบ",IF(H22&lt;0,"อาจารย์ประจำคณะและนักวิจัยทั้งหมด ต้องไม่ติดลบ",IF(AND(F19&lt;&gt;"",H22=""),"มีอาจารย์ประจำคณะและนักวิจัยในกลุ่มสาขามนุษย์สังคมในตัวบ่งชี้ที่ 2.2",IF(AND(F19&lt;&gt;0,H22&lt;F19),"อาจารย์ประจำคณะและนักวิจัยที่ปฏิบัติงานจริงในกลุ่มสาขาวิทย์สุขภาพ ต้องไม่น้อยกว่าในตัวบ่งชี้ที่ 2.2",IF(AND(AND(AND(F17&lt;&gt;"",H20&lt;&gt;""),AND(F18&lt;&gt;"",H21&lt;&gt;""),AND(F19&lt;&gt;"",H22&lt;&gt;"")),SUM(F17:F19)&gt;0,SUM(H20:H22)&lt;SUM(F17:F19)),"อาจารย์ประจำและนักวิจัยทั้งหมด ต้องไม่น้อยกว่าอาจารย์ประจำในตัวบ่งชี้ที่ 2.2",IF(AND(SUM(F17:G19)&lt;&gt;"",SUM(H20:I22)&lt;SUM(F17:G19)),"อาจารย์ประจำและนักวิจัยทั้งหมดต้องไม่น้อยกว่าอาจารย์ประจำและนักวิจัยปฏิบัติงานจริงในตัวบ่งชี้ที่ 2.2","")))))))</f>
        <v/>
      </c>
    </row>
    <row r="23" spans="1:88" s="87" customFormat="1" ht="23.25" customHeight="1" x14ac:dyDescent="0.35">
      <c r="A23" s="95" t="s">
        <v>39</v>
      </c>
      <c r="B23" s="130">
        <v>3</v>
      </c>
      <c r="C23" s="131"/>
      <c r="D23" s="196">
        <v>15</v>
      </c>
      <c r="E23" s="197"/>
      <c r="F23" s="198"/>
      <c r="G23" s="139" t="str">
        <f>IF(OR(B23="",D23=""),"",IF(OR(B23&lt;0,D23&lt;=0,B23*100/D23&gt;100,L23&lt;&gt;""),"Error","ร้อยละ"))</f>
        <v>ร้อยละ</v>
      </c>
      <c r="H23" s="140"/>
      <c r="I23" s="141">
        <f>IF(OR(B23="",D23=""),"",IF(OR(B23&lt;0,D23&lt;=0,B23*100/D23&gt;100,L23&lt;&gt;""),"Error",ROUND(B23*100/D23,2)))</f>
        <v>20</v>
      </c>
      <c r="J23" s="142"/>
      <c r="K23" s="105">
        <f>IF(OR(B23="",D23=""),"",IF(OR(B23&lt;0,D23&lt;=0,I23&lt;0,I23&gt;100,B23&gt;D23,L23&lt;&gt;""),"Error",IF(ROUND(I23*5/30,2)&gt;5,5,ROUND(I23*5/30,2))))</f>
        <v>3.33</v>
      </c>
      <c r="L23" s="94" t="str">
        <f>IF(OR(B23="",D23=""),"",IF(B23&lt;0,"งานวิจัย งานสร้างสรรค์ หรือนวัตกรรมที่นำไปใช้ประโยชน์ต้องไม่ติดลบ",IF(B23&lt;&gt;ROUND(B23,0),"งานวิจัย งานสร้างสรรค์ หรือนวัตกรรมที่นำไปใช้ประโยชน์ต้องไม่เป็นทศนิยม",IF(D23=0,"งานวิจัย งานสร้างสรรค์ หรือนวัตกรรมทั้งหมดในปีที่ประเมินต้องไม่เป็นศูนย์",IF(D23&lt;0,"งานวิจัย งานสร้างสรรค์ หรือนวัตกรรมทั้งหมดในปีที่ประเมินต้องไม่ติดลบ",IF(D23&lt;&gt;ROUND(D23,0),"งานวิจัย งานสร้างสรรค์ หรือนวัตกรรมทั้งหมดในปีที่ประเมินต้องไม่เป็นทศนิยม",IF(B23&gt;D23,"งานวิจัย งานสร้างสรรค์ หรือนวัตกรรมที่นำไปใช้ประโยชน์ต้องไม่มากกว่างานวิจัย งานสร้างสรรค์ หรือนวัตกรรมทั้งหมดในปีที่ประเมิน","")))))))</f>
        <v/>
      </c>
    </row>
    <row r="24" spans="1:88" ht="28.5" customHeight="1" x14ac:dyDescent="0.35">
      <c r="A24" s="69" t="s">
        <v>40</v>
      </c>
      <c r="B24" s="17">
        <v>1</v>
      </c>
      <c r="C24" s="17">
        <v>3</v>
      </c>
      <c r="D24" s="17">
        <v>5</v>
      </c>
      <c r="E24" s="17"/>
      <c r="F24" s="17"/>
      <c r="G24" s="77"/>
      <c r="H24" s="78"/>
      <c r="I24" s="78"/>
      <c r="J24" s="79"/>
      <c r="K24" s="11">
        <f>IF(OR(CF24="Error",CH24&lt;&gt;""),"Error",IF(AND(B24=0,CG24=1),0,IF(CG24="","",LOOKUP(CG24,{0,1,2,3,4,5},{0,1,2,3,4,5}))))</f>
        <v>3</v>
      </c>
      <c r="L24" s="80" t="str">
        <f>IF(CH24&lt;&gt;"",CH24,IF(CF24="Error","ใส่เลขผิด",""))</f>
        <v/>
      </c>
      <c r="M24" s="6"/>
      <c r="N24" s="6"/>
      <c r="O24" s="12"/>
      <c r="P24" s="81"/>
      <c r="Q24" s="82"/>
      <c r="R24" s="82"/>
      <c r="S24" s="82"/>
      <c r="T24" s="82"/>
      <c r="U24" s="83"/>
      <c r="V24" s="84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6"/>
      <c r="BJ24" s="86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8" t="str">
        <f>IF(AND(B24="",C24="",D24="",E24="",F24=""),"",IF(AND(B24="",C24&lt;&gt;""),"space",IF(AND(C24&lt;&gt;"",B24&gt;C24),"ascending",IF(OR(B24="",B24=0,B24=1,B24=2,B24=3,B24=4,B24=5),"","Error"))))</f>
        <v/>
      </c>
      <c r="CB24" s="88" t="str">
        <f>IF(AND(C24&lt;&gt;"",B24=C24),"ใส่เลขข้อซ้ำ",IF(AND(C24="",D24&lt;&gt;""),"space",IF(AND(D24&lt;&gt;"",C24&gt;D24),"ascending",IF(OR(C24="",C24=2,C24=3,C24=4,C24=5),"","Error"))))</f>
        <v/>
      </c>
      <c r="CC24" s="88" t="str">
        <f>IF(AND(D24&lt;&gt;"",OR(B24=D24,C24=D24)),"ใส่เลขข้อซ้ำ",IF(AND(D24="",E24&lt;&gt;""),"space",IF(AND(E24&lt;&gt;"",D24&gt;E24),"ascending",IF(OR(D24="",D24=3,D24=4,D24=5),"","Error"))))</f>
        <v/>
      </c>
      <c r="CD24" s="88" t="str">
        <f>IF(AND(E24&lt;&gt;"",OR(B24=E24,C24=E24,D24=E24)),"ใส่เลขข้อซ้ำ",IF(AND(E24="",F24&lt;&gt;""),"space",IF(AND(F24&lt;&gt;"",E24&gt;F24),"ascending",IF(OR(E24="",E24=4,E24=5),"","Error"))))</f>
        <v/>
      </c>
      <c r="CE24" s="88" t="str">
        <f>IF(AND(F24&lt;&gt;"",OR(B24=F24,C24=F24,D24=F24,E24=F24)),"ใส่เลขข้อซ้ำ",IF(OR(F24="",F24=5),"","Error"))</f>
        <v/>
      </c>
      <c r="CF24" s="89" t="str">
        <f>IF(COUNTIF(CA24:CE24,"Error")&gt;0,"Error","")</f>
        <v/>
      </c>
      <c r="CG24" s="90">
        <f>IF(COUNT(B24:F24)=0,"",COUNT(B24:F24))</f>
        <v>3</v>
      </c>
      <c r="CH24" s="91" t="str">
        <f>IF(COUNTIF(CA24:CE24,"space")&gt;0,"ให้ใส่เลขข้อโดยไม่ข้ามช่องว่าง",IF(COUNTIF(CA24:CE24,"ascending")&gt;0,"ให้เรียงเลขข้อจากน้อยไปมาก",IF(COUNTIF(CB24:CE24,"ใส่เลขข้อซ้ำ")&gt;0,"ใส่เลขข้อซ้ำ","")))</f>
        <v/>
      </c>
      <c r="CI24" s="101"/>
    </row>
    <row r="25" spans="1:88" s="87" customFormat="1" ht="23.25" customHeight="1" x14ac:dyDescent="0.35">
      <c r="A25" s="95" t="s">
        <v>41</v>
      </c>
      <c r="B25" s="132">
        <v>87</v>
      </c>
      <c r="C25" s="133"/>
      <c r="D25" s="136">
        <v>547</v>
      </c>
      <c r="E25" s="137"/>
      <c r="F25" s="138"/>
      <c r="G25" s="139" t="str">
        <f>IF(OR(B25="",D25=""),"",IF(OR(B25&lt;0,D25&lt;=0,B25*100/D25&gt;100,L25&lt;&gt;""),"Error","ร้อยละ"))</f>
        <v>ร้อยละ</v>
      </c>
      <c r="H25" s="140"/>
      <c r="I25" s="141">
        <f>IF(OR(B25="",D25=""),"",IF(OR(B25&lt;0,D25&lt;=0,B25*100/D25&gt;100,L25&lt;&gt;""),"Error",ROUND(B25*100/D25,2)))</f>
        <v>15.9</v>
      </c>
      <c r="J25" s="142"/>
      <c r="K25" s="105">
        <f>IF(OR(B25="",D25=""),"",IF(OR(B25&lt;0,D25&lt;=0,I25&lt;0,I25&gt;100,B25&gt;D25,L25&lt;&gt;""),"Error",IF(ROUND(I25*5/20,2)&gt;5,5,ROUND(I25*5/20,2))))</f>
        <v>3.98</v>
      </c>
      <c r="L25" s="94" t="str">
        <f>IF(OR(B25="",D25=""),"",IF(B25&lt;0,"ชุมชนเป้าหมายที่ได้รับการพัฒนาอย่างต่อเนื่องต้องไม่ติดลบ",IF(B25&lt;&gt;ROUND(B25,0),"ชุมชนเป้าหมายที่ได้รับการพัฒนาอย่างต่อเนื่องต้องไม่เป็นทศนิยม",IF(D25=0,"ชุมชนเป้าหมายทั้งหมดต้องไม่เป็นศูนย์",IF(D25&lt;0,"ชุมชนเป้าหมายทั้งหมดต้องไม่ติดลบ",IF(D25&lt;&gt;ROUND(D25,0),"ชุมชนเป้าหมายทั้งหมดต้องไม่เป็นทศนิยม",IF(B25&gt;D25,"ชุมชนเป้าหมายที่ได้รับการพัฒนาอย่างต่อเนื่องต้องไม่มากกว่าชุมชนเป้าหมายทั้งหมด","")))))))</f>
        <v/>
      </c>
    </row>
    <row r="26" spans="1:88" ht="28.5" customHeight="1" x14ac:dyDescent="0.35">
      <c r="A26" s="69" t="s">
        <v>43</v>
      </c>
      <c r="B26" s="18">
        <v>1</v>
      </c>
      <c r="C26" s="18">
        <v>2</v>
      </c>
      <c r="D26" s="18">
        <v>3</v>
      </c>
      <c r="E26" s="18">
        <v>4</v>
      </c>
      <c r="F26" s="18">
        <v>5</v>
      </c>
      <c r="G26" s="77"/>
      <c r="H26" s="78"/>
      <c r="I26" s="78"/>
      <c r="J26" s="79"/>
      <c r="K26" s="11">
        <f>IF(OR(CF26="Error",CH26&lt;&gt;""),"Error",IF(AND(B26=0,CG26=1),0,IF(CG26="","",LOOKUP(CG26,{0,1,2,3,4,5},{0,1,2,3,4,5}))))</f>
        <v>5</v>
      </c>
      <c r="L26" s="80" t="str">
        <f>IF(CH26&lt;&gt;"",CH26,IF(CF26="Error","ใส่เลขผิด",""))</f>
        <v/>
      </c>
      <c r="M26" s="6"/>
      <c r="N26" s="6"/>
      <c r="O26" s="12"/>
      <c r="P26" s="81"/>
      <c r="Q26" s="82"/>
      <c r="R26" s="82"/>
      <c r="S26" s="82"/>
      <c r="T26" s="82"/>
      <c r="U26" s="83"/>
      <c r="V26" s="84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6"/>
      <c r="BJ26" s="86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8" t="str">
        <f>IF(AND(B26="",C26="",D26="",E26="",F26=""),"",IF(AND(B26="",C26&lt;&gt;""),"space",IF(AND(C26&lt;&gt;"",B26&gt;C26),"ascending",IF(OR(B26="",B26=0,B26=1,B26=2,B26=3,B26=4,B26=5),"","Error"))))</f>
        <v/>
      </c>
      <c r="CB26" s="88" t="str">
        <f>IF(AND(C26&lt;&gt;"",B26=C26),"ใส่เลขข้อซ้ำ",IF(AND(C26="",D26&lt;&gt;""),"space",IF(AND(D26&lt;&gt;"",C26&gt;D26),"ascending",IF(OR(C26="",C26=2,C26=3,C26=4,C26=5),"","Error"))))</f>
        <v/>
      </c>
      <c r="CC26" s="88" t="str">
        <f>IF(AND(D26&lt;&gt;"",OR(B26=D26,C26=D26)),"ใส่เลขข้อซ้ำ",IF(AND(D26="",E26&lt;&gt;""),"space",IF(AND(E26&lt;&gt;"",D26&gt;E26),"ascending",IF(OR(D26="",D26=3,D26=4,D26=5),"","Error"))))</f>
        <v/>
      </c>
      <c r="CD26" s="88" t="str">
        <f>IF(AND(E26&lt;&gt;"",OR(B26=E26,C26=E26,D26=E26)),"ใส่เลขข้อซ้ำ",IF(AND(E26="",F26&lt;&gt;""),"space",IF(AND(F26&lt;&gt;"",E26&gt;F26),"ascending",IF(OR(E26="",E26=4,E26=5),"","Error"))))</f>
        <v/>
      </c>
      <c r="CE26" s="88" t="str">
        <f>IF(AND(F26&lt;&gt;"",OR(B26=F26,C26=F26,D26=F26,E26=F26)),"ใส่เลขข้อซ้ำ",IF(OR(F26="",F26=5),"","Error"))</f>
        <v/>
      </c>
      <c r="CF26" s="89" t="str">
        <f>IF(COUNTIF(CA26:CE26,"Error")&gt;0,"Error","")</f>
        <v/>
      </c>
      <c r="CG26" s="90">
        <f>IF(COUNT(B26:F26)=0,"",COUNT(B26:F26))</f>
        <v>5</v>
      </c>
      <c r="CH26" s="91" t="str">
        <f>IF(COUNTIF(CA26:CE26,"space")&gt;0,"ให้ใส่เลขข้อโดยไม่ข้ามช่องว่าง",IF(COUNTIF(CA26:CE26,"ascending")&gt;0,"ให้เรียงเลขข้อจากน้อยไปมาก",IF(COUNTIF(CB26:CE26,"ใส่เลขข้อซ้ำ")&gt;0,"ใส่เลขข้อซ้ำ","")))</f>
        <v/>
      </c>
      <c r="CI26" s="101"/>
    </row>
    <row r="27" spans="1:88" ht="28.5" customHeight="1" x14ac:dyDescent="0.35">
      <c r="A27" s="69" t="s">
        <v>42</v>
      </c>
      <c r="B27" s="99">
        <v>1</v>
      </c>
      <c r="C27" s="99">
        <v>2</v>
      </c>
      <c r="D27" s="99">
        <v>4</v>
      </c>
      <c r="E27" s="99">
        <v>5</v>
      </c>
      <c r="F27" s="99"/>
      <c r="G27" s="77"/>
      <c r="H27" s="78"/>
      <c r="I27" s="78"/>
      <c r="J27" s="79"/>
      <c r="K27" s="11">
        <f>IF(OR(CF27="Error",CH27&lt;&gt;""),"Error",IF(AND(B27=0,CG27=1),0,IF(CG27="","",LOOKUP(CG27,{0,1,2,3,4,5},{0,1,2,3,4,5}))))</f>
        <v>4</v>
      </c>
      <c r="L27" s="80" t="str">
        <f>IF(CH27&lt;&gt;"",CH27,IF(CF27="Error","ใส่เลขผิด",""))</f>
        <v/>
      </c>
      <c r="M27" s="6"/>
      <c r="N27" s="6"/>
      <c r="O27" s="12"/>
      <c r="P27" s="81"/>
      <c r="Q27" s="82"/>
      <c r="R27" s="82"/>
      <c r="S27" s="82"/>
      <c r="T27" s="82"/>
      <c r="U27" s="83"/>
      <c r="V27" s="84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6"/>
      <c r="BJ27" s="86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8" t="str">
        <f>IF(AND(B27="",C27="",D27="",E27="",F27=""),"",IF(AND(B27="",C27&lt;&gt;""),"space",IF(AND(C27&lt;&gt;"",B27&gt;C27),"ascending",IF(OR(B27="",B27=0,B27=1,B27=2,B27=3,B27=4,B27=5),"","Error"))))</f>
        <v/>
      </c>
      <c r="CB27" s="88" t="str">
        <f>IF(AND(C27&lt;&gt;"",B27=C27),"ใส่เลขข้อซ้ำ",IF(AND(C27="",D27&lt;&gt;""),"space",IF(AND(D27&lt;&gt;"",C27&gt;D27),"ascending",IF(OR(C27="",C27=2,C27=3,C27=4,C27=5),"","Error"))))</f>
        <v/>
      </c>
      <c r="CC27" s="88" t="str">
        <f>IF(AND(D27&lt;&gt;"",OR(B27=D27,C27=D27)),"ใส่เลขข้อซ้ำ",IF(AND(D27="",E27&lt;&gt;""),"space",IF(AND(E27&lt;&gt;"",D27&gt;E27),"ascending",IF(OR(D27="",D27=3,D27=4,D27=5),"","Error"))))</f>
        <v/>
      </c>
      <c r="CD27" s="88" t="str">
        <f>IF(AND(E27&lt;&gt;"",OR(B27=E27,C27=E27,D27=E27)),"ใส่เลขข้อซ้ำ",IF(AND(E27="",F27&lt;&gt;""),"space",IF(AND(F27&lt;&gt;"",E27&gt;F27),"ascending",IF(OR(E27="",E27=4,E27=5),"","Error"))))</f>
        <v/>
      </c>
      <c r="CE27" s="88" t="str">
        <f>IF(AND(F27&lt;&gt;"",OR(B27=F27,C27=F27,D27=F27,E27=F27)),"ใส่เลขข้อซ้ำ",IF(OR(F27="",F27=5),"","Error"))</f>
        <v/>
      </c>
      <c r="CF27" s="89" t="str">
        <f>IF(COUNTIF(CA27:CE27,"Error")&gt;0,"Error","")</f>
        <v/>
      </c>
      <c r="CG27" s="90">
        <f>IF(COUNT(B27:F27)=0,"",COUNT(B27:F27))</f>
        <v>4</v>
      </c>
      <c r="CH27" s="91" t="str">
        <f>IF(COUNTIF(CA27:CE27,"space")&gt;0,"ให้ใส่เลขข้อโดยไม่ข้ามช่องว่าง",IF(COUNTIF(CA27:CE27,"ascending")&gt;0,"ให้เรียงเลขข้อจากน้อยไปมาก",IF(COUNTIF(CB27:CE27,"ใส่เลขข้อซ้ำ")&gt;0,"ใส่เลขข้อซ้ำ","")))</f>
        <v/>
      </c>
      <c r="CI27" s="101"/>
    </row>
    <row r="28" spans="1:88" ht="28.5" customHeight="1" x14ac:dyDescent="0.35">
      <c r="A28" s="69" t="s">
        <v>50</v>
      </c>
      <c r="B28" s="74">
        <v>1</v>
      </c>
      <c r="C28" s="74">
        <v>2</v>
      </c>
      <c r="D28" s="74">
        <v>3</v>
      </c>
      <c r="E28" s="74">
        <v>4</v>
      </c>
      <c r="F28" s="74">
        <v>5</v>
      </c>
      <c r="G28" s="74">
        <v>6</v>
      </c>
      <c r="H28" s="8"/>
      <c r="I28" s="9"/>
      <c r="J28" s="10"/>
      <c r="K28" s="11">
        <f>IF(OR(CG28="Error",CI28&lt;&gt;""),"Error",IF(AND(B28=0,CH28=1),0,IF(CH28="","",LOOKUP(CH28,{0,1,2,3,5,6},{0,1,2,3,4,5}))))</f>
        <v>5</v>
      </c>
      <c r="L28" s="5" t="str">
        <f>IF(CI28&lt;&gt;"",CI28,IF(CG28="Error","ใส่เลขผิด",""))</f>
        <v/>
      </c>
      <c r="M28" s="6"/>
      <c r="N28" s="6"/>
      <c r="O28" s="12"/>
      <c r="P28" s="63"/>
      <c r="Q28" s="56"/>
      <c r="R28" s="56"/>
      <c r="S28" s="56"/>
      <c r="T28" s="56"/>
      <c r="U28" s="57"/>
      <c r="V28" s="58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60"/>
      <c r="BJ28" s="60"/>
      <c r="CA28" s="64" t="str">
        <f>IF(AND(B28="",C28="",D28="",E28="",F28="",G28=""),"",IF(AND(B28="",C28&lt;&gt;""),"space",IF(AND(C28&lt;&gt;"",B28&gt;C28),"ascending",IF(OR(B28="",B28=0,B28=1,B28=2,B28=3,B28=4,B28=5,B28=6),"","Error"))))</f>
        <v/>
      </c>
      <c r="CB28" s="64" t="str">
        <f>IF(AND(C28&lt;&gt;"",B28=C28),"ใส่เลขข้อซ้ำ",IF(AND(C28="",D28&lt;&gt;""),"space",IF(AND(D28&lt;&gt;"",C28&gt;D28),"ascending",IF(OR(C28="",C28=2,C28=3,C28=4,C28=5,C28=6),"","Error"))))</f>
        <v/>
      </c>
      <c r="CC28" s="64" t="str">
        <f>IF(AND(D28&lt;&gt;"",OR(B28=D28,C28=D28)),"ใส่เลขข้อซ้ำ",IF(AND(D28="",E28&lt;&gt;""),"space",IF(AND(E28&lt;&gt;"",D28&gt;E28),"ascending",IF(OR(D28="",D28=3,D28=4,D28=5,D28=6),"","Error"))))</f>
        <v/>
      </c>
      <c r="CD28" s="64" t="str">
        <f>IF(AND(E28&lt;&gt;"",OR(B28=E28,C28=E28,D28=E28)),"ใส่เลขข้อซ้ำ",IF(AND(E28="",F28&lt;&gt;""),"space",IF(AND(F28&lt;&gt;"",E28&gt;F28),"ascending",IF(OR(E28="",E28=4,E28=5,E28=6),"","Error"))))</f>
        <v/>
      </c>
      <c r="CE28" s="64" t="str">
        <f>IF(AND(F28&lt;&gt;"",OR(B28=F28,C28=F28,D28=F28,E28=F28)),"ใส่เลขข้อซ้ำ",IF(AND(F28="",G28&lt;&gt;""),"space",IF(AND(G28&lt;&gt;"",F28&gt;G28),"ascending",IF(OR(F28="",F28=5,F28=6),"","Error"))))</f>
        <v/>
      </c>
      <c r="CF28" s="65" t="str">
        <f>IF(AND(G28&lt;&gt;"",OR(B28=G28,C28=G28,D28=G28,E28=G28,F28=G28)),"ใส่เลขข้อซ้ำ",IF(OR(G28="",G28=6),"","Error"))</f>
        <v/>
      </c>
      <c r="CG28" s="66" t="str">
        <f>IF(COUNTIF(CA28:CF28,"Error")&gt;0,"Error","")</f>
        <v/>
      </c>
      <c r="CH28" s="67">
        <f>IF(COUNT(B28:G28)=0,"",COUNT(B28:G28))</f>
        <v>6</v>
      </c>
      <c r="CI28" s="68" t="str">
        <f>IF(COUNTIF(CA28:CE28,"space")&gt;0,"ให้ใส่เลขข้อโดยไม่ข้ามช่องว่าง",IF(COUNTIF(CA28:CE28,"ascending")&gt;0,"ให้เรียงเลขข้อจากน้อยไปมาก",IF(COUNTIF(CB28:CF28,"ใส่เลขข้อซ้ำ")&gt;0,"ใส่เลขข้อซ้ำ","")))</f>
        <v/>
      </c>
    </row>
    <row r="29" spans="1:88" ht="28.5" customHeight="1" x14ac:dyDescent="0.35">
      <c r="A29" s="100" t="s">
        <v>48</v>
      </c>
      <c r="B29" s="13">
        <v>1</v>
      </c>
      <c r="C29" s="13">
        <v>2</v>
      </c>
      <c r="D29" s="13">
        <v>3</v>
      </c>
      <c r="E29" s="13">
        <v>4</v>
      </c>
      <c r="F29" s="13">
        <v>5</v>
      </c>
      <c r="G29" s="13"/>
      <c r="H29" s="13"/>
      <c r="I29" s="9"/>
      <c r="J29" s="10"/>
      <c r="K29" s="11">
        <f>IF(OR(CH29="Error",CJ29&lt;&gt;""),"Error",IF(AND(B29=0,CI29=1),0,IF(CI29="","",LOOKUP(CI29,{0,1,2,3,5,7},{0,1,2,3,4,5}))))</f>
        <v>4</v>
      </c>
      <c r="L29" s="5" t="str">
        <f>IF(CJ29&lt;&gt;"",CJ29,IF(CH29="Error","ใส่เลขผิด",""))</f>
        <v/>
      </c>
      <c r="M29" s="6"/>
      <c r="N29" s="6"/>
      <c r="O29" s="12"/>
      <c r="P29" s="63"/>
      <c r="Q29" s="56"/>
      <c r="R29" s="56"/>
      <c r="S29" s="56"/>
      <c r="T29" s="56"/>
      <c r="U29" s="57"/>
      <c r="V29" s="58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60"/>
      <c r="BJ29" s="60"/>
      <c r="CA29" s="64" t="str">
        <f>IF(AND(B29="",C29="",D29="",E29="",F29="",G29="",H29=""),"",IF(AND(B29="",C29&lt;&gt;""),"space",IF(AND(C29&lt;&gt;"",B29&gt;C29),"ascending",IF(OR(B29="",B29=0,B29=1,B29=2,B29=3,B29=4,B29=5,B29=6,B29=7),"","Error"))))</f>
        <v/>
      </c>
      <c r="CB29" s="64" t="str">
        <f>IF(AND(C29&lt;&gt;"",B29=C29),"ใส่เลขข้อซ้ำ",IF(AND(C29="",D29&lt;&gt;""),"space",IF(AND(D29&lt;&gt;"",C29&gt;D29),"ascending",IF(OR(C29="",C29=2,C29=3,C29=4,C29=5,C29=6,C29=7),"","Error"))))</f>
        <v/>
      </c>
      <c r="CC29" s="64" t="str">
        <f>IF(AND(D29&lt;&gt;"",OR(B29=D29,C29=D29)),"ใส่เลขข้อซ้ำ",IF(AND(D29="",E29&lt;&gt;""),"space",IF(AND(E29&lt;&gt;"",D29&gt;E29),"ascending",IF(OR(D29="",D29=3,D29=4,D29=5,D29=6,D29=7),"","Error"))))</f>
        <v/>
      </c>
      <c r="CD29" s="64" t="str">
        <f>IF(AND(E29&lt;&gt;"",OR(B29=E29,C29=E29,D29=E29)),"ใส่เลขข้อซ้ำ",IF(AND(E29="",F29&lt;&gt;""),"space",IF(AND(F29&lt;&gt;"",E29&gt;F29),"ascending",IF(OR(E29="",E29=4,E29=5,E29=6,E29=7),"","Error"))))</f>
        <v/>
      </c>
      <c r="CE29" s="64" t="str">
        <f>IF(AND(F29&lt;&gt;"",OR(B29=F29,C29=F29,D29=F29,E29=F29)),"ใส่เลขข้อซ้ำ",IF(AND(F29="",G29&lt;&gt;""),"space",IF(AND(G29&lt;&gt;"",F29&gt;G29),"ascending",IF(OR(F29="",F29=5,F29=6,F29=7),"","Error"))))</f>
        <v/>
      </c>
      <c r="CF29" s="65" t="str">
        <f>IF(AND(G29&lt;&gt;"",OR(B29=G29,C29=G29,D29=G29,E29=G29,F29=G29)),"ใส่เลขข้อซ้ำ",IF(AND(G29="",H29&lt;&gt;""),"space",IF(AND(H29&lt;&gt;"",G29&gt;H29),"ascending",IF(OR(G29="",G29=6,G29=7),"","Error"))))</f>
        <v/>
      </c>
      <c r="CG29" s="65" t="str">
        <f>IF(AND(H29&lt;&gt;"",OR(B29=H29,C29=H29,D29=H29,E29=H29,F29=H29,G29=H29)),"ใส่เลขข้อซ้ำ",IF(OR(H29="",H29=7),"","Error"))</f>
        <v/>
      </c>
      <c r="CH29" s="66" t="str">
        <f>IF(COUNTIF(CA29:CG29,"Error")&gt;0,"Error","")</f>
        <v/>
      </c>
      <c r="CI29" s="67">
        <f>IF(COUNT(B29:H29)=0,"",COUNT(B29:H29))</f>
        <v>5</v>
      </c>
      <c r="CJ29" s="68" t="str">
        <f>IF(COUNTIF(CA29:CF29,"space")&gt;0,"ให้ใส่เลขข้อโดยไม่ข้ามช่องว่าง",IF(COUNTIF(CA29:CF29,"ascending")&gt;0,"ให้เรียงเลขข้อจากน้อยไปมาก",IF(COUNTIF(CB29:CG29,"ใส่เลขข้อซ้ำ")&gt;0,"ใส่เลขข้อซ้ำ","")))</f>
        <v/>
      </c>
    </row>
    <row r="30" spans="1:88" ht="28.5" x14ac:dyDescent="0.35">
      <c r="A30" s="69" t="s">
        <v>49</v>
      </c>
      <c r="B30" s="14">
        <v>2</v>
      </c>
      <c r="C30" s="14">
        <v>3</v>
      </c>
      <c r="D30" s="14">
        <v>4</v>
      </c>
      <c r="E30" s="14">
        <v>5</v>
      </c>
      <c r="F30" s="14">
        <v>6</v>
      </c>
      <c r="G30" s="14"/>
      <c r="H30" s="8"/>
      <c r="I30" s="9"/>
      <c r="J30" s="10"/>
      <c r="K30" s="11">
        <f>IF(OR(CG30="Error",CI30&lt;&gt;""),"Error",IF(AND(B30=0,CH30=1),0,IF(CH30="","",LOOKUP(CH30,{0,1,2,3,5,6},{0,1,2,3,4,5}))))</f>
        <v>4</v>
      </c>
      <c r="L30" s="5" t="str">
        <f>IF(CI30&lt;&gt;"",CI30,IF(CG30="Error","ใส่เลขผิด",""))</f>
        <v/>
      </c>
      <c r="M30" s="6"/>
      <c r="N30" s="6"/>
      <c r="O30" s="12"/>
      <c r="P30" s="63"/>
      <c r="Q30" s="56"/>
      <c r="R30" s="56"/>
      <c r="S30" s="56"/>
      <c r="T30" s="56"/>
      <c r="U30" s="57"/>
      <c r="V30" s="58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60"/>
      <c r="BJ30" s="60"/>
      <c r="CA30" s="64" t="str">
        <f>IF(AND(B30="",C30="",D30="",E30="",F30="",G30=""),"",IF(AND(B30="",C30&lt;&gt;""),"space",IF(AND(C30&lt;&gt;"",B30&gt;C30),"ascending",IF(OR(B30="",B30=0,B30=1,B30=2,B30=3,B30=4,B30=5,B30=6),"","Error"))))</f>
        <v/>
      </c>
      <c r="CB30" s="64" t="str">
        <f>IF(AND(C30&lt;&gt;"",B30=C30),"ใส่เลขข้อซ้ำ",IF(AND(C30="",D30&lt;&gt;""),"space",IF(AND(D30&lt;&gt;"",C30&gt;D30),"ascending",IF(OR(C30="",C30=2,C30=3,C30=4,C30=5,C30=6),"","Error"))))</f>
        <v/>
      </c>
      <c r="CC30" s="64" t="str">
        <f>IF(AND(D30&lt;&gt;"",OR(B30=D30,C30=D30)),"ใส่เลขข้อซ้ำ",IF(AND(D30="",E30&lt;&gt;""),"space",IF(AND(E30&lt;&gt;"",D30&gt;E30),"ascending",IF(OR(D30="",D30=3,D30=4,D30=5,D30=6),"","Error"))))</f>
        <v/>
      </c>
      <c r="CD30" s="64" t="str">
        <f>IF(AND(E30&lt;&gt;"",OR(B30=E30,C30=E30,D30=E30)),"ใส่เลขข้อซ้ำ",IF(AND(E30="",F30&lt;&gt;""),"space",IF(AND(F30&lt;&gt;"",E30&gt;F30),"ascending",IF(OR(E30="",E30=4,E30=5,E30=6),"","Error"))))</f>
        <v/>
      </c>
      <c r="CE30" s="64" t="str">
        <f>IF(AND(F30&lt;&gt;"",OR(B30=F30,C30=F30,D30=F30,E30=F30)),"ใส่เลขข้อซ้ำ",IF(AND(F30="",G30&lt;&gt;""),"space",IF(AND(G30&lt;&gt;"",F30&gt;G30),"ascending",IF(OR(F30="",F30=5,F30=6),"","Error"))))</f>
        <v/>
      </c>
      <c r="CF30" s="65" t="str">
        <f>IF(AND(G30&lt;&gt;"",OR(B30=G30,C30=G30,D30=G30,E30=G30,F30=G30)),"ใส่เลขข้อซ้ำ",IF(OR(G30="",G30=6),"","Error"))</f>
        <v/>
      </c>
      <c r="CG30" s="66" t="str">
        <f>IF(COUNTIF(CA30:CF30,"Error")&gt;0,"Error","")</f>
        <v/>
      </c>
      <c r="CH30" s="67">
        <f>IF(COUNT(B30:G30)=0,"",COUNT(B30:G30))</f>
        <v>5</v>
      </c>
      <c r="CI30" s="68" t="str">
        <f>IF(COUNTIF(CA30:CE30,"space")&gt;0,"ให้ใส่เลขข้อโดยไม่ข้ามช่องว่าง",IF(COUNTIF(CA30:CE30,"ascending")&gt;0,"ให้เรียงเลขข้อจากน้อยไปมาก",IF(COUNTIF(CB30:CF30,"ใส่เลขข้อซ้ำ")&gt;0,"ใส่เลขข้อซ้ำ","")))</f>
        <v/>
      </c>
    </row>
    <row r="31" spans="1:88" ht="28.5" x14ac:dyDescent="0.35">
      <c r="A31" s="70"/>
      <c r="B31" s="134" t="s">
        <v>12</v>
      </c>
      <c r="C31" s="135"/>
      <c r="D31" s="135"/>
      <c r="E31" s="135"/>
      <c r="F31" s="135"/>
      <c r="G31" s="135"/>
      <c r="H31" s="135"/>
      <c r="I31" s="135"/>
      <c r="J31" s="135"/>
      <c r="K31" s="19">
        <f>IF(COUNTIF(K7:K30,"Error")&gt;0,"Error",IF(COUNT(K7:K30)=0,"",ROUND(SUM(K7:K30)/IF(COUNT(K7:K30)=0,1,COUNT(K7:K30)),2)))</f>
        <v>3.79</v>
      </c>
      <c r="L31" s="15"/>
    </row>
    <row r="32" spans="1:88" ht="26.25" x14ac:dyDescent="0.4">
      <c r="A32" s="20" t="s">
        <v>28</v>
      </c>
      <c r="B32" s="119" t="str">
        <f>IF(AND(K31&gt;=4.51,K31&lt;=5),"การดำเนินงานระดับดีมาก",IF(AND(K31&gt;=3.51,K31&lt;4.51),"การดำเนินงานระดับดี",IF(AND(K31&gt;=2.51,K31&lt;3.51),"การดำเนินงานระดับพอใช้",IF(AND(K31&gt;=1.51,K31&lt;2.51),"การดำเนินงานต้องปรับปรุง",IF(K31&lt;1.51,"การดำเนินงานต้องปรับปรุงเร่งด่วน","")))))</f>
        <v>การดำเนินงานระดับดี</v>
      </c>
      <c r="C32" s="120"/>
      <c r="D32" s="120"/>
      <c r="E32" s="120"/>
      <c r="F32" s="120"/>
      <c r="G32" s="120"/>
      <c r="H32" s="120"/>
      <c r="I32" s="120"/>
      <c r="J32" s="120"/>
      <c r="K32" s="121"/>
    </row>
    <row r="33" ht="26.25" customHeight="1" x14ac:dyDescent="0.35"/>
    <row r="34" ht="21" customHeight="1" x14ac:dyDescent="0.35"/>
  </sheetData>
  <sheetProtection algorithmName="SHA-512" hashValue="Yf3/n+c/+shOmJtsTUkVYQWKlsPC8IFsqbUkPs/PY+QveTTsz35ZrLSFEQEUPNV2S1tKCblPkcHRj3S61+T0Dg==" saltValue="eIMi7LQI9FnBa/8k2xqcbg==" spinCount="100000" sheet="1" objects="1" scenarios="1"/>
  <mergeCells count="60">
    <mergeCell ref="G15:H15"/>
    <mergeCell ref="G23:H23"/>
    <mergeCell ref="I23:J23"/>
    <mergeCell ref="D23:F23"/>
    <mergeCell ref="D10:F10"/>
    <mergeCell ref="G10:H10"/>
    <mergeCell ref="K7:K8"/>
    <mergeCell ref="B8:F8"/>
    <mergeCell ref="B10:C10"/>
    <mergeCell ref="I10:J10"/>
    <mergeCell ref="A1:K1"/>
    <mergeCell ref="A2:K2"/>
    <mergeCell ref="B3:C3"/>
    <mergeCell ref="A4:A6"/>
    <mergeCell ref="B4:J4"/>
    <mergeCell ref="K4:K6"/>
    <mergeCell ref="B5:F5"/>
    <mergeCell ref="G5:J6"/>
    <mergeCell ref="B6:F6"/>
    <mergeCell ref="D3:K3"/>
    <mergeCell ref="A7:A8"/>
    <mergeCell ref="B7:F7"/>
    <mergeCell ref="G7:H8"/>
    <mergeCell ref="I7:J8"/>
    <mergeCell ref="B9:C9"/>
    <mergeCell ref="I9:J9"/>
    <mergeCell ref="D9:F9"/>
    <mergeCell ref="G9:H9"/>
    <mergeCell ref="A17:A19"/>
    <mergeCell ref="B17:E17"/>
    <mergeCell ref="F17:G17"/>
    <mergeCell ref="H17:J17"/>
    <mergeCell ref="F18:G18"/>
    <mergeCell ref="H18:J18"/>
    <mergeCell ref="B19:E19"/>
    <mergeCell ref="F19:G19"/>
    <mergeCell ref="B15:C15"/>
    <mergeCell ref="B32:K32"/>
    <mergeCell ref="H19:J19"/>
    <mergeCell ref="K17:K19"/>
    <mergeCell ref="B18:E18"/>
    <mergeCell ref="B23:C23"/>
    <mergeCell ref="B25:C25"/>
    <mergeCell ref="K20:K22"/>
    <mergeCell ref="B21:E21"/>
    <mergeCell ref="F21:G21"/>
    <mergeCell ref="B31:J31"/>
    <mergeCell ref="D25:F25"/>
    <mergeCell ref="G25:H25"/>
    <mergeCell ref="I25:J25"/>
    <mergeCell ref="D15:F15"/>
    <mergeCell ref="I15:J15"/>
    <mergeCell ref="A20:A22"/>
    <mergeCell ref="B20:E20"/>
    <mergeCell ref="F20:G20"/>
    <mergeCell ref="H20:I20"/>
    <mergeCell ref="H21:I21"/>
    <mergeCell ref="B22:E22"/>
    <mergeCell ref="F22:G22"/>
    <mergeCell ref="H22:I22"/>
  </mergeCells>
  <printOptions horizontalCentered="1"/>
  <pageMargins left="1.5" right="1" top="1.5" bottom="1" header="1" footer="0.8"/>
  <pageSetup scale="46" orientation="portrait" horizontalDpi="4294967295" verticalDpi="4294967295" r:id="rId1"/>
  <headerFooter>
    <oddHeader>&amp;Cพัฒนาโดย ดร.ประสิทธิ์ พงษ์เรืองพันธุ์ รศ.ดร.เรณา พงษ์เรืองพันธุ์ และมหาวิทยาลัยราชภัฏบ้านสมเด็จเจ้าพระยา</oddHeader>
    <oddFooter>&amp;L&amp;Z&amp;F   &amp;D&amp;RE-mail: prasitp_g@hotmail.com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I17"/>
  <sheetViews>
    <sheetView showGridLines="0" tabSelected="1" zoomScale="80" zoomScaleNormal="80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F24" sqref="F24"/>
    </sheetView>
  </sheetViews>
  <sheetFormatPr defaultColWidth="9.125" defaultRowHeight="14.25" x14ac:dyDescent="0.2"/>
  <cols>
    <col min="1" max="1" width="8.875" style="21" customWidth="1"/>
    <col min="2" max="2" width="15.25" style="21" customWidth="1"/>
    <col min="3" max="3" width="15.75" style="21" customWidth="1"/>
    <col min="4" max="4" width="20.125" style="21" customWidth="1"/>
    <col min="5" max="5" width="15.75" style="21" customWidth="1"/>
    <col min="6" max="6" width="19.625" style="21" customWidth="1"/>
    <col min="7" max="7" width="39.375" style="21" customWidth="1"/>
    <col min="8" max="16384" width="9.125" style="21"/>
  </cols>
  <sheetData>
    <row r="1" spans="1:9" ht="26.25" x14ac:dyDescent="0.2">
      <c r="A1" s="199" t="str">
        <f>IF('คณะใน มบส'!A2="","",'คณะใน มบส'!A2)</f>
        <v>วิทยาศาสตร์และเทคโนโลยี</v>
      </c>
      <c r="B1" s="199"/>
      <c r="C1" s="199"/>
      <c r="D1" s="199"/>
      <c r="E1" s="199"/>
      <c r="F1" s="199"/>
      <c r="G1" s="199"/>
    </row>
    <row r="2" spans="1:9" ht="27" thickBot="1" x14ac:dyDescent="0.45">
      <c r="A2" s="204" t="s">
        <v>13</v>
      </c>
      <c r="B2" s="204"/>
      <c r="C2" s="204"/>
      <c r="D2" s="204"/>
      <c r="E2" s="204"/>
      <c r="F2" s="204"/>
      <c r="G2" s="204"/>
    </row>
    <row r="3" spans="1:9" ht="24" thickBot="1" x14ac:dyDescent="0.4">
      <c r="A3" s="226" t="s">
        <v>32</v>
      </c>
      <c r="B3" s="226"/>
      <c r="C3" s="226"/>
      <c r="D3" s="226"/>
      <c r="E3" s="226"/>
      <c r="F3" s="226"/>
      <c r="G3" s="226"/>
    </row>
    <row r="4" spans="1:9" ht="23.25" x14ac:dyDescent="0.2">
      <c r="A4" s="205" t="s">
        <v>14</v>
      </c>
      <c r="B4" s="208" t="s">
        <v>15</v>
      </c>
      <c r="C4" s="209"/>
      <c r="D4" s="209"/>
      <c r="E4" s="209"/>
      <c r="F4" s="210"/>
      <c r="G4" s="71" t="s">
        <v>16</v>
      </c>
    </row>
    <row r="5" spans="1:9" ht="15.75" x14ac:dyDescent="0.2">
      <c r="A5" s="206"/>
      <c r="B5" s="211"/>
      <c r="C5" s="212"/>
      <c r="D5" s="212"/>
      <c r="E5" s="212"/>
      <c r="F5" s="213"/>
      <c r="G5" s="72" t="s">
        <v>17</v>
      </c>
    </row>
    <row r="6" spans="1:9" ht="16.5" thickBot="1" x14ac:dyDescent="0.25">
      <c r="A6" s="206"/>
      <c r="B6" s="214"/>
      <c r="C6" s="215"/>
      <c r="D6" s="215"/>
      <c r="E6" s="215"/>
      <c r="F6" s="216"/>
      <c r="G6" s="72" t="s">
        <v>18</v>
      </c>
    </row>
    <row r="7" spans="1:9" ht="15.75" x14ac:dyDescent="0.2">
      <c r="A7" s="206"/>
      <c r="B7" s="217" t="s">
        <v>19</v>
      </c>
      <c r="C7" s="220" t="s">
        <v>20</v>
      </c>
      <c r="D7" s="220" t="s">
        <v>21</v>
      </c>
      <c r="E7" s="220" t="s">
        <v>22</v>
      </c>
      <c r="F7" s="223" t="s">
        <v>12</v>
      </c>
      <c r="G7" s="72" t="s">
        <v>23</v>
      </c>
    </row>
    <row r="8" spans="1:9" ht="15.75" x14ac:dyDescent="0.2">
      <c r="A8" s="206"/>
      <c r="B8" s="218"/>
      <c r="C8" s="221"/>
      <c r="D8" s="221"/>
      <c r="E8" s="221"/>
      <c r="F8" s="224"/>
      <c r="G8" s="72" t="s">
        <v>24</v>
      </c>
    </row>
    <row r="9" spans="1:9" ht="16.5" thickBot="1" x14ac:dyDescent="0.25">
      <c r="A9" s="207"/>
      <c r="B9" s="219"/>
      <c r="C9" s="222"/>
      <c r="D9" s="222"/>
      <c r="E9" s="222"/>
      <c r="F9" s="225"/>
      <c r="G9" s="73" t="s">
        <v>25</v>
      </c>
    </row>
    <row r="10" spans="1:9" ht="27.75" thickTop="1" thickBot="1" x14ac:dyDescent="0.25">
      <c r="A10" s="22">
        <v>1</v>
      </c>
      <c r="B10" s="23">
        <v>8</v>
      </c>
      <c r="C10" s="24">
        <f>IF(AND('คณะใน มบส'!K9="",'คณะใน มบส'!K10=""),"",ROUND(AVERAGE('คณะใน มบส'!K9:K10),2))</f>
        <v>3.32</v>
      </c>
      <c r="D10" s="24">
        <f>IF('คณะใน มบส'!K31="","",IF(AND('คณะใน มบส'!K11="",'คณะใน มบส'!K12="",'คณะใน มบส'!K13="",'คณะใน มบส'!K14=""),"ไม่มี นศ ป.ตรี",IF(SUM('คณะใน มบส'!K11:K14)=0,"",ROUND(AVERAGE('คณะใน มบส'!K11:K14),2))))</f>
        <v>3.5</v>
      </c>
      <c r="E10" s="25">
        <f>IF(AND('คณะใน มบส'!K7="",'คณะใน มบส'!K15=""),"",ROUND(AVERAGE('คณะใน มบส'!K7,'คณะใน มบส'!K15),2))</f>
        <v>3.91</v>
      </c>
      <c r="F10" s="24">
        <f>IF(AND('คณะใน มบส'!K7="",'คณะใน มบส'!K9="",'คณะใน มบส'!K10="",'คณะใน มบส'!K11="",'คณะใน มบส'!K12="",'คณะใน มบส'!K13="",'คณะใน มบส'!K14="",'คณะใน มบส'!K15=""),"",ROUND(AVERAGE('คณะใน มบส'!K7:K15),2))</f>
        <v>3.56</v>
      </c>
      <c r="G10" s="48" t="str">
        <f>IF(AND(F10&gt;=4.51,F10&lt;=5),"การดำเนินงานระดับดีมาก",IF(AND(F10&gt;=3.51,F10&lt;4.51),"การดำเนินงานระดับดี",IF(AND(F10&gt;=2.51,F10&lt;3.51),"การดำเนินงานระดับพอใช้",IF(AND(F10&gt;=1.51,F10&lt;2.51),"การดำเนินงานต้องปรับปรุง",IF(F10&lt;1.51,"การดำเนินงานต้องปรับปรุงเร่งด่วน","")))))</f>
        <v>การดำเนินงานระดับดี</v>
      </c>
    </row>
    <row r="11" spans="1:9" ht="27" thickBot="1" x14ac:dyDescent="0.25">
      <c r="A11" s="26">
        <v>2</v>
      </c>
      <c r="B11" s="26">
        <v>4</v>
      </c>
      <c r="C11" s="27">
        <f>'คณะใน มบส'!K17</f>
        <v>2.38</v>
      </c>
      <c r="D11" s="27">
        <f>'คณะใน มบส'!K16</f>
        <v>4</v>
      </c>
      <c r="E11" s="28">
        <f>IF(AND('คณะใน มบส'!K20="",'คณะใน มบส'!K23=""),"",ROUND(AVERAGE('คณะใน มบส'!K20,'คณะใน มบส'!K23),2))</f>
        <v>4.08</v>
      </c>
      <c r="F11" s="29">
        <f>IF(AND('คณะใน มบส'!K16="",'คณะใน มบส'!K17="",'คณะใน มบส'!K20="",'คณะใน มบส'!K23=""),"",ROUND(AVERAGE('คณะใน มบส'!K16:K23),2))</f>
        <v>3.63</v>
      </c>
      <c r="G11" s="49" t="str">
        <f>IF(AND(F11&gt;=4.51,F11&lt;=5),"การดำเนินงานระดับดีมาก",IF(AND(F11&gt;=3.51,F11&lt;4.51),"การดำเนินงานระดับดี",IF(AND(F11&gt;=2.51,F11&lt;3.51),"การดำเนินงานระดับพอใช้",IF(AND(F11&gt;=1.51,F11&lt;2.51),"การดำเนินงานต้องปรับปรุง",IF(F11&lt;1.51,"การดำเนินงานต้องปรับปรุงเร่งด่วน","")))))</f>
        <v>การดำเนินงานระดับดี</v>
      </c>
    </row>
    <row r="12" spans="1:9" ht="27" thickBot="1" x14ac:dyDescent="0.25">
      <c r="A12" s="30">
        <v>3</v>
      </c>
      <c r="B12" s="30">
        <v>2</v>
      </c>
      <c r="C12" s="31" t="s">
        <v>26</v>
      </c>
      <c r="D12" s="31">
        <f>'คณะใน มบส'!K24</f>
        <v>3</v>
      </c>
      <c r="E12" s="31">
        <f>'คณะใน มบส'!K25</f>
        <v>3.98</v>
      </c>
      <c r="F12" s="32">
        <f>IF(AND('คณะใน มบส'!K24="",'คณะใน มบส'!K25=""),"",ROUND(AVERAGE('คณะใน มบส'!K24:K25),2))</f>
        <v>3.49</v>
      </c>
      <c r="G12" s="50" t="str">
        <f>IF(AND(F12&gt;=4.51,F12&lt;=5),"การดำเนินงานระดับดีมาก",IF(AND(F12&gt;=3.51,F12&lt;4.51),"การดำเนินงานระดับดี",IF(AND(F12&gt;=2.51,F12&lt;3.51),"การดำเนินงานระดับพอใช้",IF(AND(F12&gt;=1.51,F12&lt;2.51),"การดำเนินงานต้องปรับปรุง",IF(F12&lt;1.51,"การดำเนินงานต้องปรับปรุงเร่งด่วน","")))))</f>
        <v>การดำเนินงานระดับพอใช้</v>
      </c>
    </row>
    <row r="13" spans="1:9" ht="27" thickBot="1" x14ac:dyDescent="0.25">
      <c r="A13" s="33">
        <v>4</v>
      </c>
      <c r="B13" s="33">
        <v>1</v>
      </c>
      <c r="C13" s="34" t="s">
        <v>26</v>
      </c>
      <c r="D13" s="34">
        <f>'คณะใน มบส'!K26</f>
        <v>5</v>
      </c>
      <c r="E13" s="34" t="s">
        <v>26</v>
      </c>
      <c r="F13" s="35">
        <f>'คณะใน มบส'!K26</f>
        <v>5</v>
      </c>
      <c r="G13" s="51" t="str">
        <f>IF(AND(F13&gt;=4.51,F13&lt;=5),"การดำเนินงานระดับดีมาก",IF(AND(F13&gt;=3.51,F13&lt;4.51),"การดำเนินงานระดับดี",IF(AND(F13&gt;=2.51,F13&lt;3.51),"การดำเนินงานระดับพอใช้",IF(AND(F13&gt;=1.51,F13&lt;2.51),"การดำเนินงานต้องปรับปรุง",IF(F13&lt;1.51,"การดำเนินงานต้องปรับปรุงเร่งด่วน","")))))</f>
        <v>การดำเนินงานระดับดีมาก</v>
      </c>
    </row>
    <row r="14" spans="1:9" ht="27" thickBot="1" x14ac:dyDescent="0.25">
      <c r="A14" s="36">
        <v>5</v>
      </c>
      <c r="B14" s="36">
        <v>4</v>
      </c>
      <c r="C14" s="37" t="s">
        <v>26</v>
      </c>
      <c r="D14" s="38">
        <f>IF(AND('คณะใน มบส'!K27="",'คณะใน มบส'!K28="",'คณะใน มบส'!K29="",'คณะใน มบส'!K30=""),"",AVERAGE('คณะใน มบส'!K27:K30))</f>
        <v>4.25</v>
      </c>
      <c r="E14" s="39" t="s">
        <v>26</v>
      </c>
      <c r="F14" s="40">
        <f>IF(AND('คณะใน มบส'!K27="",'คณะใน มบส'!K28="",'คณะใน มบส'!K29="",'คณะใน มบส'!K30=""),"",ROUND(AVERAGE('คณะใน มบส'!K27:K30),2))</f>
        <v>4.25</v>
      </c>
      <c r="G14" s="52" t="str">
        <f>IF(AND(F14&gt;=4.51,F14&lt;=5),"การดำเนินงานระดับดีมาก",IF(AND(F14&gt;=3.51,F14&lt;4.51),"การดำเนินงานระดับดี",IF(AND(F14&gt;=2.51,F14&lt;3.51),"การดำเนินงานระดับพอใช้",IF(AND(F14&gt;=1.51,F14&lt;2.51),"การดำเนินงานต้องปรับปรุง",IF(F14&lt;1.51,"การดำเนินงานต้องปรับปรุงเร่งด่วน","")))))</f>
        <v>การดำเนินงานระดับดี</v>
      </c>
    </row>
    <row r="15" spans="1:9" ht="27" thickBot="1" x14ac:dyDescent="0.25">
      <c r="A15" s="41" t="s">
        <v>27</v>
      </c>
      <c r="B15" s="41">
        <f>SUM(B10:B14)</f>
        <v>19</v>
      </c>
      <c r="C15" s="41">
        <v>3</v>
      </c>
      <c r="D15" s="41">
        <v>11</v>
      </c>
      <c r="E15" s="41">
        <v>5</v>
      </c>
      <c r="F15" s="42"/>
      <c r="G15" s="42"/>
    </row>
    <row r="16" spans="1:9" ht="27" thickBot="1" x14ac:dyDescent="0.25">
      <c r="A16" s="200" t="s">
        <v>12</v>
      </c>
      <c r="B16" s="201"/>
      <c r="C16" s="43">
        <f>IF(AND('คณะใน มบส'!K9="",'คณะใน มบส'!K10="",'คณะใน มบส'!K17=""),"",ROUND(AVERAGE('คณะใน มบส'!K9:K10,'คณะใน มบส'!K17),2))</f>
        <v>3.01</v>
      </c>
      <c r="D16" s="43">
        <f>IF(AND('คณะใน มบส'!K11="",'คณะใน มบส'!K12="",'คณะใน มบส'!K13="",'คณะใน มบส'!K14="",'คณะใน มบส'!K16="",'คณะใน มบส'!K24="",'คณะใน มบส'!K26="",'คณะใน มบส'!K27="",'คณะใน มบส'!K28="",'คณะใน มบส'!K29="",'คณะใน มบส'!K30=""),"",ROUND(AVERAGE('คณะใน มบส'!K11:K14,'คณะใน มบส'!K16,'คณะใน มบส'!K24,'คณะใน มบส'!K26:K30),2))</f>
        <v>3.91</v>
      </c>
      <c r="E16" s="43">
        <f>IF(AND('คณะใน มบส'!K7="",'คณะใน มบส'!K15="",'คณะใน มบส'!K20="",'คณะใน มบส'!K23="",'คณะใน มบส'!K25=""),"",ROUND(AVERAGE('คณะใน มบส'!K7,'คณะใน มบส'!K15,'คณะใน มบส'!K20,'คณะใน มบส'!K23,'คณะใน มบส'!K25),2))</f>
        <v>3.99</v>
      </c>
      <c r="F16" s="44">
        <f>IF('คณะใน มบส'!K31="","",ROUND(AVERAGE('คณะใน มบส'!K7:K30),2))</f>
        <v>3.79</v>
      </c>
      <c r="G16" s="53" t="str">
        <f>IF(AND(F16&gt;=4.51,F16&lt;=5),"การดำเนินงานระดับดีมาก",IF(AND(F16&gt;=3.51,F16&lt;4.51),"การดำเนินงานระดับดี",IF(AND(F16&gt;=2.51,F16&lt;3.51),"การดำเนินงานระดับพอใช้",IF(AND(F16&gt;=1.51,F16&lt;2.51),"การดำเนินงานต้องปรับปรุง",IF(F16&lt;1.51,"การดำเนินงานต้องปรับปรุงเร่งด่วน","")))))</f>
        <v>การดำเนินงานระดับดี</v>
      </c>
      <c r="I16" s="45"/>
    </row>
    <row r="17" spans="1:7" ht="65.099999999999994" customHeight="1" thickBot="1" x14ac:dyDescent="0.25">
      <c r="A17" s="202" t="s">
        <v>16</v>
      </c>
      <c r="B17" s="203"/>
      <c r="C17" s="47" t="str">
        <f>IF(AND(C16&gt;=4.51,C16&lt;=5),"การดำเนินงานระดับดีมาก",IF(AND(C16&gt;=3.51,C16&lt;4.51),"การดำเนินงานระดับดี",IF(AND(C16&gt;=2.51,C16&lt;3.51),"การดำเนินงานระดับพอใช้",IF(AND(C16&gt;=1.51,C16&lt;2.51),"การดำเนินงานต้องปรับปรุง",IF(C16&lt;1.51,"การดำเนินงานต้องปรับปรุงเร่งด่วน","")))))</f>
        <v>การดำเนินงานระดับพอใช้</v>
      </c>
      <c r="D17" s="47" t="str">
        <f t="shared" ref="D17:E17" si="0">IF(AND(D16&gt;=4.51,D16&lt;=5),"การดำเนินงานระดับดีมาก",IF(AND(D16&gt;=3.51,D16&lt;4.51),"การดำเนินงานระดับดี",IF(AND(D16&gt;=2.51,D16&lt;3.51),"การดำเนินงานระดับพอใช้",IF(AND(D16&gt;=1.51,D16&lt;2.51),"การดำเนินงานต้องปรับปรุง",IF(D16&lt;1.51,"การดำเนินงานต้องปรับปรุงเร่งด่วน","")))))</f>
        <v>การดำเนินงานระดับดี</v>
      </c>
      <c r="E17" s="47" t="str">
        <f t="shared" si="0"/>
        <v>การดำเนินงานระดับดี</v>
      </c>
      <c r="F17" s="75" t="s">
        <v>31</v>
      </c>
      <c r="G17" s="46"/>
    </row>
  </sheetData>
  <sheetProtection algorithmName="SHA-512" hashValue="p8sFjOEJGv6oTZVCIL0mppsvrz1R83dupRJHGVUc21oM+i0MjxTZ5mbFSgqpsAT5IV9JLjphCtlADODEuO0hDQ==" saltValue="Uq5W94kVzH44vpMtFCIc/w==" spinCount="100000" sheet="1" objects="1" scenarios="1"/>
  <mergeCells count="12">
    <mergeCell ref="A1:G1"/>
    <mergeCell ref="A16:B16"/>
    <mergeCell ref="A17:B17"/>
    <mergeCell ref="A2:G2"/>
    <mergeCell ref="A4:A9"/>
    <mergeCell ref="B4:F6"/>
    <mergeCell ref="B7:B9"/>
    <mergeCell ref="C7:C9"/>
    <mergeCell ref="D7:D9"/>
    <mergeCell ref="E7:E9"/>
    <mergeCell ref="F7:F9"/>
    <mergeCell ref="A3:G3"/>
  </mergeCells>
  <printOptions horizontalCentered="1"/>
  <pageMargins left="1.5" right="1" top="1.5" bottom="1" header="1" footer="0.8"/>
  <pageSetup scale="59" orientation="portrait" horizontalDpi="4294967295" verticalDpi="4294967295" r:id="rId1"/>
  <headerFooter>
    <oddHeader>&amp;Cพัฒนาโดย ดร.ประสิทธิ์ พงษ์เรืองพันธุ์ รศ.ดร.เรณา พงษ์เรืองพันธุ์ และมหาวิทยาลัยราชภัฏบ้านสมเด็จเจ้าพระยา</oddHeader>
    <oddFooter>&amp;L&amp;Z&amp;F   &amp;D&amp;RE-mail: prasitp_g@hotmail.com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คณะใน มบส</vt:lpstr>
      <vt:lpstr>ผลวิเคราะห์</vt:lpstr>
      <vt:lpstr>'คณะใน มบส'!Print_Area</vt:lpstr>
      <vt:lpstr>ผลวิเคราะห์!Print_Area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2020-06-28T04:07:20Z</cp:lastPrinted>
  <dcterms:created xsi:type="dcterms:W3CDTF">2015-11-07T14:26:32Z</dcterms:created>
  <dcterms:modified xsi:type="dcterms:W3CDTF">2021-08-03T03:35:32Z</dcterms:modified>
</cp:coreProperties>
</file>